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6380" windowHeight="8190" tabRatio="699" firstSheet="9" activeTab="50"/>
  </bookViews>
  <sheets>
    <sheet name="Item1" sheetId="1" r:id="rId1"/>
    <sheet name="Item2" sheetId="2" r:id="rId2"/>
    <sheet name="Item3" sheetId="3" r:id="rId3"/>
    <sheet name="Item4" sheetId="4" r:id="rId4"/>
    <sheet name="Item5" sheetId="5" r:id="rId5"/>
    <sheet name="Item6" sheetId="6" r:id="rId6"/>
    <sheet name="Item7" sheetId="7" r:id="rId7"/>
    <sheet name="Item8" sheetId="8" r:id="rId8"/>
    <sheet name="Item9" sheetId="9" r:id="rId9"/>
    <sheet name="Item10" sheetId="10" r:id="rId10"/>
    <sheet name="Item11" sheetId="11" r:id="rId11"/>
    <sheet name="Item12" sheetId="12" r:id="rId12"/>
    <sheet name="Item13" sheetId="13" r:id="rId13"/>
    <sheet name="Item14" sheetId="14" r:id="rId14"/>
    <sheet name="Item15" sheetId="15" r:id="rId15"/>
    <sheet name="Item16" sheetId="16" r:id="rId16"/>
    <sheet name="Item17" sheetId="17" r:id="rId17"/>
    <sheet name="Item18" sheetId="18" r:id="rId18"/>
    <sheet name="Item19" sheetId="19" r:id="rId19"/>
    <sheet name="Item20" sheetId="20" r:id="rId20"/>
    <sheet name="Item21" sheetId="21" r:id="rId21"/>
    <sheet name="Item22" sheetId="22" r:id="rId22"/>
    <sheet name="Item23" sheetId="23" r:id="rId23"/>
    <sheet name="Item24" sheetId="24" r:id="rId24"/>
    <sheet name="Item25" sheetId="25" state="hidden" r:id="rId25"/>
    <sheet name="Item26" sheetId="26" state="hidden" r:id="rId26"/>
    <sheet name="Item27" sheetId="27" state="hidden" r:id="rId27"/>
    <sheet name="Item28" sheetId="28" state="hidden" r:id="rId28"/>
    <sheet name="Item29" sheetId="29" state="hidden" r:id="rId29"/>
    <sheet name="Item30" sheetId="30" state="hidden" r:id="rId30"/>
    <sheet name="Item31" sheetId="31" state="hidden" r:id="rId31"/>
    <sheet name="Item32" sheetId="32" state="hidden" r:id="rId32"/>
    <sheet name="Item33" sheetId="33" state="hidden" r:id="rId33"/>
    <sheet name="Item34" sheetId="34" state="hidden" r:id="rId34"/>
    <sheet name="Item35" sheetId="35" state="hidden" r:id="rId35"/>
    <sheet name="Item36" sheetId="36" state="hidden" r:id="rId36"/>
    <sheet name="Item37" sheetId="37" state="hidden" r:id="rId37"/>
    <sheet name="Item38" sheetId="38" state="hidden" r:id="rId38"/>
    <sheet name="Item39" sheetId="39" state="hidden" r:id="rId39"/>
    <sheet name="Item40" sheetId="40" state="hidden" r:id="rId40"/>
    <sheet name="Item41" sheetId="41" state="hidden" r:id="rId41"/>
    <sheet name="Item42" sheetId="42" state="hidden" r:id="rId42"/>
    <sheet name="Item43" sheetId="43" state="hidden" r:id="rId43"/>
    <sheet name="Item44" sheetId="44" state="hidden" r:id="rId44"/>
    <sheet name="Item45" sheetId="45" state="hidden" r:id="rId45"/>
    <sheet name="Item46" sheetId="46" state="hidden" r:id="rId46"/>
    <sheet name="Item47" sheetId="47" state="hidden" r:id="rId47"/>
    <sheet name="Item48" sheetId="48" state="hidden" r:id="rId48"/>
    <sheet name="Item49" sheetId="49" state="hidden" r:id="rId49"/>
    <sheet name="Item50" sheetId="50" state="hidden" r:id="rId50"/>
    <sheet name="TOTAL" sheetId="51" r:id="rId51"/>
  </sheets>
  <definedNames>
    <definedName name="_xlnm.Print_Area" localSheetId="50">TOTAL!$A$1:$F$34</definedName>
    <definedName name="Print_Area_0" localSheetId="50">TOTAL!$A$8:$F$34</definedName>
    <definedName name="_xlnm.Print_Titles" localSheetId="50">TOTAL!$1:$9</definedName>
  </definedNames>
  <calcPr calcId="145621"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H3" i="24" l="1"/>
  <c r="F3" i="24" s="1"/>
  <c r="H3" i="23"/>
  <c r="H6" i="22"/>
  <c r="B20" i="22" s="1"/>
  <c r="A20" i="22" s="1"/>
  <c r="H5" i="22"/>
  <c r="H4" i="22"/>
  <c r="H3" i="22"/>
  <c r="H8" i="21"/>
  <c r="H7" i="21"/>
  <c r="H6" i="21"/>
  <c r="H5" i="21"/>
  <c r="H4" i="21"/>
  <c r="H3" i="21"/>
  <c r="H10" i="20"/>
  <c r="H9" i="20"/>
  <c r="H8" i="20"/>
  <c r="H7" i="20"/>
  <c r="H6" i="20"/>
  <c r="H5" i="20"/>
  <c r="H4" i="20"/>
  <c r="H3" i="20"/>
  <c r="H6" i="19"/>
  <c r="H5" i="19"/>
  <c r="H4" i="19"/>
  <c r="H3" i="19"/>
  <c r="H13" i="18"/>
  <c r="H12" i="18"/>
  <c r="H11" i="18"/>
  <c r="H10" i="18"/>
  <c r="F20" i="18" s="1"/>
  <c r="H9" i="18"/>
  <c r="H8" i="18"/>
  <c r="H7" i="18"/>
  <c r="H6" i="18"/>
  <c r="H5" i="18"/>
  <c r="H4" i="18"/>
  <c r="H3" i="18"/>
  <c r="H6" i="17"/>
  <c r="F20" i="17" s="1"/>
  <c r="H5" i="17"/>
  <c r="H4" i="17"/>
  <c r="H3" i="17"/>
  <c r="B20" i="17" s="1"/>
  <c r="A20" i="17" s="1"/>
  <c r="H3" i="16"/>
  <c r="H20" i="16" s="1"/>
  <c r="G20" i="16" s="1"/>
  <c r="H6" i="15"/>
  <c r="H5" i="15"/>
  <c r="H4" i="15"/>
  <c r="H3" i="15"/>
  <c r="H12" i="14"/>
  <c r="H11" i="14"/>
  <c r="H10" i="14"/>
  <c r="H9" i="14"/>
  <c r="H8" i="14"/>
  <c r="H7" i="14"/>
  <c r="H6" i="14"/>
  <c r="H5" i="14"/>
  <c r="H4" i="14"/>
  <c r="H3" i="14"/>
  <c r="H7" i="13"/>
  <c r="H6" i="13"/>
  <c r="F20" i="13" s="1"/>
  <c r="H5" i="13"/>
  <c r="H4" i="13"/>
  <c r="H20" i="13" s="1"/>
  <c r="G20" i="13" s="1"/>
  <c r="H3" i="13"/>
  <c r="H6" i="12"/>
  <c r="H5" i="12"/>
  <c r="H4" i="12"/>
  <c r="H3" i="12"/>
  <c r="H3" i="11"/>
  <c r="H6" i="10"/>
  <c r="H5" i="10"/>
  <c r="H4" i="10"/>
  <c r="H3" i="10"/>
  <c r="H20" i="10" s="1"/>
  <c r="G20" i="10" s="1"/>
  <c r="H11" i="9"/>
  <c r="H10" i="9"/>
  <c r="H9" i="9"/>
  <c r="H8" i="9"/>
  <c r="H7" i="9"/>
  <c r="H6" i="9"/>
  <c r="H5" i="9"/>
  <c r="H4" i="9"/>
  <c r="H3" i="9"/>
  <c r="H5" i="8"/>
  <c r="H4" i="8"/>
  <c r="H3" i="8"/>
  <c r="H6" i="7"/>
  <c r="F3" i="7" s="1"/>
  <c r="H5" i="7"/>
  <c r="F20" i="7" s="1"/>
  <c r="H4" i="7"/>
  <c r="H3" i="7"/>
  <c r="H8" i="6"/>
  <c r="B20" i="6" s="1"/>
  <c r="A20" i="6" s="1"/>
  <c r="H7" i="6"/>
  <c r="H6" i="6"/>
  <c r="H5" i="6"/>
  <c r="H4" i="6"/>
  <c r="H3" i="6"/>
  <c r="H10" i="5"/>
  <c r="H9" i="5"/>
  <c r="H8" i="5"/>
  <c r="H7" i="5"/>
  <c r="H6" i="5"/>
  <c r="H5" i="5"/>
  <c r="H4" i="5"/>
  <c r="H3" i="5"/>
  <c r="H7" i="4"/>
  <c r="H6" i="4"/>
  <c r="H5" i="4"/>
  <c r="H4" i="4"/>
  <c r="H3" i="4"/>
  <c r="H8" i="3"/>
  <c r="H7" i="3"/>
  <c r="H6" i="3"/>
  <c r="H5" i="3"/>
  <c r="H4" i="3"/>
  <c r="H3" i="3"/>
  <c r="H7" i="2"/>
  <c r="H6" i="2"/>
  <c r="H5" i="2"/>
  <c r="H4" i="2"/>
  <c r="H3" i="2"/>
  <c r="H6" i="1"/>
  <c r="H5" i="1"/>
  <c r="D20" i="1" s="1"/>
  <c r="H4" i="1"/>
  <c r="H3" i="1"/>
  <c r="B20" i="1" s="1"/>
  <c r="C33" i="51"/>
  <c r="B33" i="51"/>
  <c r="C32" i="51"/>
  <c r="B32" i="51"/>
  <c r="C31" i="51"/>
  <c r="B31" i="51"/>
  <c r="C30" i="51"/>
  <c r="B30" i="51"/>
  <c r="C29" i="51"/>
  <c r="B29" i="51"/>
  <c r="C28" i="51"/>
  <c r="B28" i="51"/>
  <c r="D27" i="51"/>
  <c r="C27" i="51"/>
  <c r="B27" i="51"/>
  <c r="D26" i="51"/>
  <c r="C26" i="51"/>
  <c r="B26" i="51"/>
  <c r="C25" i="51"/>
  <c r="B25" i="51"/>
  <c r="D24" i="51"/>
  <c r="C24" i="51"/>
  <c r="B24" i="51"/>
  <c r="D23" i="51"/>
  <c r="C23" i="51"/>
  <c r="B23" i="51"/>
  <c r="D22" i="51"/>
  <c r="C22" i="51"/>
  <c r="B22" i="51"/>
  <c r="D21" i="51"/>
  <c r="C21" i="51"/>
  <c r="B21" i="51"/>
  <c r="C20" i="51"/>
  <c r="B20" i="51"/>
  <c r="D19" i="51"/>
  <c r="C19" i="51"/>
  <c r="B19" i="51"/>
  <c r="D18" i="51"/>
  <c r="C18" i="51"/>
  <c r="B18" i="51"/>
  <c r="D17" i="51"/>
  <c r="C17" i="51"/>
  <c r="B17" i="51"/>
  <c r="C16" i="51"/>
  <c r="B16" i="51"/>
  <c r="C15" i="51"/>
  <c r="B15" i="51"/>
  <c r="C14" i="51"/>
  <c r="B14" i="51"/>
  <c r="D13" i="51"/>
  <c r="C13" i="51"/>
  <c r="B13" i="51"/>
  <c r="D12" i="51"/>
  <c r="C12" i="51"/>
  <c r="B12" i="51"/>
  <c r="D11" i="51"/>
  <c r="C11" i="51"/>
  <c r="B11" i="51"/>
  <c r="C10" i="51"/>
  <c r="B10" i="51"/>
  <c r="H20" i="50"/>
  <c r="G20" i="50" s="1"/>
  <c r="F20" i="50"/>
  <c r="D20" i="50"/>
  <c r="B20" i="50"/>
  <c r="I17" i="50"/>
  <c r="I16" i="50"/>
  <c r="I15" i="50"/>
  <c r="I14" i="50"/>
  <c r="I13" i="50"/>
  <c r="I12" i="50"/>
  <c r="I11" i="50"/>
  <c r="I10" i="50"/>
  <c r="I9" i="50"/>
  <c r="I8" i="50"/>
  <c r="I7" i="50"/>
  <c r="I6" i="50"/>
  <c r="F3" i="50"/>
  <c r="H20" i="49"/>
  <c r="G20" i="49"/>
  <c r="F20" i="49"/>
  <c r="D20" i="49"/>
  <c r="B20" i="49"/>
  <c r="A20" i="49"/>
  <c r="C20" i="49" s="1"/>
  <c r="I17" i="49"/>
  <c r="I16" i="49"/>
  <c r="I15" i="49"/>
  <c r="I14" i="49"/>
  <c r="I13" i="49"/>
  <c r="I12" i="49"/>
  <c r="I11" i="49"/>
  <c r="I10" i="49"/>
  <c r="I9" i="49"/>
  <c r="I8" i="49"/>
  <c r="I7" i="49"/>
  <c r="I6" i="49"/>
  <c r="F3" i="49"/>
  <c r="H20" i="48"/>
  <c r="G20" i="48" s="1"/>
  <c r="F20" i="48"/>
  <c r="D20" i="48"/>
  <c r="B20" i="48"/>
  <c r="I17" i="48"/>
  <c r="I16" i="48"/>
  <c r="I15" i="48"/>
  <c r="I14" i="48"/>
  <c r="I13" i="48"/>
  <c r="I12" i="48"/>
  <c r="I11" i="48"/>
  <c r="I10" i="48"/>
  <c r="I9" i="48"/>
  <c r="I8" i="48"/>
  <c r="I7" i="48"/>
  <c r="I6" i="48"/>
  <c r="F3" i="48"/>
  <c r="H20" i="47"/>
  <c r="G20" i="47"/>
  <c r="F20" i="47"/>
  <c r="D20" i="47"/>
  <c r="B20" i="47"/>
  <c r="A20" i="47"/>
  <c r="C20" i="47" s="1"/>
  <c r="I17" i="47"/>
  <c r="I16" i="47"/>
  <c r="I15" i="47"/>
  <c r="I14" i="47"/>
  <c r="I13" i="47"/>
  <c r="I12" i="47"/>
  <c r="I11" i="47"/>
  <c r="I10" i="47"/>
  <c r="I9" i="47"/>
  <c r="I8" i="47"/>
  <c r="I7" i="47"/>
  <c r="I6" i="47"/>
  <c r="F3" i="47"/>
  <c r="H20" i="46"/>
  <c r="G20" i="46" s="1"/>
  <c r="F20" i="46"/>
  <c r="D20" i="46"/>
  <c r="B20" i="46"/>
  <c r="I17" i="46"/>
  <c r="I16" i="46"/>
  <c r="I15" i="46"/>
  <c r="I14" i="46"/>
  <c r="I13" i="46"/>
  <c r="I12" i="46"/>
  <c r="I11" i="46"/>
  <c r="I10" i="46"/>
  <c r="I9" i="46"/>
  <c r="I8" i="46"/>
  <c r="I7" i="46"/>
  <c r="I6" i="46"/>
  <c r="F3" i="46"/>
  <c r="H20" i="45"/>
  <c r="G20" i="45"/>
  <c r="F20" i="45"/>
  <c r="D20" i="45"/>
  <c r="B20" i="45"/>
  <c r="A20" i="45"/>
  <c r="C20" i="45" s="1"/>
  <c r="I17" i="45"/>
  <c r="I16" i="45"/>
  <c r="I15" i="45"/>
  <c r="I14" i="45"/>
  <c r="I13" i="45"/>
  <c r="I12" i="45"/>
  <c r="I11" i="45"/>
  <c r="I10" i="45"/>
  <c r="I9" i="45"/>
  <c r="I8" i="45"/>
  <c r="I7" i="45"/>
  <c r="I6" i="45"/>
  <c r="F3" i="45"/>
  <c r="H20" i="44"/>
  <c r="G20" i="44" s="1"/>
  <c r="F20" i="44"/>
  <c r="D20" i="44"/>
  <c r="B20" i="44"/>
  <c r="I17" i="44"/>
  <c r="I16" i="44"/>
  <c r="I15" i="44"/>
  <c r="I14" i="44"/>
  <c r="I13" i="44"/>
  <c r="I12" i="44"/>
  <c r="I11" i="44"/>
  <c r="I10" i="44"/>
  <c r="I9" i="44"/>
  <c r="I8" i="44"/>
  <c r="I7" i="44"/>
  <c r="I6" i="44"/>
  <c r="F3" i="44"/>
  <c r="H20" i="43"/>
  <c r="G20" i="43"/>
  <c r="F20" i="43"/>
  <c r="D20" i="43"/>
  <c r="B20" i="43"/>
  <c r="A20" i="43"/>
  <c r="C20" i="43" s="1"/>
  <c r="I17" i="43"/>
  <c r="I16" i="43"/>
  <c r="I15" i="43"/>
  <c r="I14" i="43"/>
  <c r="I13" i="43"/>
  <c r="I12" i="43"/>
  <c r="I11" i="43"/>
  <c r="I10" i="43"/>
  <c r="I9" i="43"/>
  <c r="I8" i="43"/>
  <c r="I7" i="43"/>
  <c r="I6" i="43"/>
  <c r="F3" i="43"/>
  <c r="H20" i="42"/>
  <c r="G20" i="42" s="1"/>
  <c r="F20" i="42"/>
  <c r="D20" i="42"/>
  <c r="B20" i="42"/>
  <c r="A20" i="42" s="1"/>
  <c r="C20" i="42" s="1"/>
  <c r="I17" i="42"/>
  <c r="I16" i="42"/>
  <c r="I15" i="42"/>
  <c r="I14" i="42"/>
  <c r="I13" i="42"/>
  <c r="I12" i="42"/>
  <c r="I11" i="42"/>
  <c r="I10" i="42"/>
  <c r="I9" i="42"/>
  <c r="I8" i="42"/>
  <c r="I7" i="42"/>
  <c r="I6" i="42"/>
  <c r="F3" i="42"/>
  <c r="H20" i="41"/>
  <c r="G20" i="41"/>
  <c r="F20" i="41"/>
  <c r="D20" i="41"/>
  <c r="B20" i="41"/>
  <c r="A20" i="41"/>
  <c r="C20" i="41" s="1"/>
  <c r="I17" i="41"/>
  <c r="I16" i="41"/>
  <c r="I15" i="41"/>
  <c r="I14" i="41"/>
  <c r="I13" i="41"/>
  <c r="I12" i="41"/>
  <c r="I11" i="41"/>
  <c r="I10" i="41"/>
  <c r="I9" i="41"/>
  <c r="I8" i="41"/>
  <c r="I7" i="41"/>
  <c r="I6" i="41"/>
  <c r="F3" i="41"/>
  <c r="H20" i="40"/>
  <c r="G20" i="40"/>
  <c r="F20" i="40"/>
  <c r="D20" i="40"/>
  <c r="B20" i="40"/>
  <c r="A20" i="40"/>
  <c r="C20" i="40" s="1"/>
  <c r="I17" i="40"/>
  <c r="I16" i="40"/>
  <c r="I15" i="40"/>
  <c r="I14" i="40"/>
  <c r="I13" i="40"/>
  <c r="I12" i="40"/>
  <c r="I11" i="40"/>
  <c r="I10" i="40"/>
  <c r="I9" i="40"/>
  <c r="I8" i="40"/>
  <c r="I7" i="40"/>
  <c r="I6" i="40"/>
  <c r="F3" i="40"/>
  <c r="H20" i="39"/>
  <c r="G20" i="39"/>
  <c r="F20" i="39"/>
  <c r="D20" i="39"/>
  <c r="B20" i="39"/>
  <c r="A20" i="39"/>
  <c r="C20" i="39" s="1"/>
  <c r="I17" i="39"/>
  <c r="I16" i="39"/>
  <c r="I15" i="39"/>
  <c r="I14" i="39"/>
  <c r="I13" i="39"/>
  <c r="I12" i="39"/>
  <c r="I11" i="39"/>
  <c r="I10" i="39"/>
  <c r="I9" i="39"/>
  <c r="I8" i="39"/>
  <c r="I7" i="39"/>
  <c r="I6" i="39"/>
  <c r="F3" i="39"/>
  <c r="H20" i="38"/>
  <c r="G20" i="38"/>
  <c r="F20" i="38"/>
  <c r="D20" i="38"/>
  <c r="B20" i="38"/>
  <c r="A20" i="38"/>
  <c r="C20" i="38" s="1"/>
  <c r="I17" i="38"/>
  <c r="I16" i="38"/>
  <c r="I15" i="38"/>
  <c r="I14" i="38"/>
  <c r="I13" i="38"/>
  <c r="I12" i="38"/>
  <c r="I11" i="38"/>
  <c r="I10" i="38"/>
  <c r="I9" i="38"/>
  <c r="I8" i="38"/>
  <c r="I7" i="38"/>
  <c r="I6" i="38"/>
  <c r="F3" i="38"/>
  <c r="H20" i="37"/>
  <c r="G20" i="37"/>
  <c r="F20" i="37"/>
  <c r="D20" i="37"/>
  <c r="B20" i="37"/>
  <c r="A20" i="37"/>
  <c r="C20" i="37" s="1"/>
  <c r="I17" i="37"/>
  <c r="I16" i="37"/>
  <c r="I15" i="37"/>
  <c r="I14" i="37"/>
  <c r="I13" i="37"/>
  <c r="I12" i="37"/>
  <c r="I11" i="37"/>
  <c r="I10" i="37"/>
  <c r="I9" i="37"/>
  <c r="I8" i="37"/>
  <c r="I7" i="37"/>
  <c r="I6" i="37"/>
  <c r="F3" i="37"/>
  <c r="H20" i="36"/>
  <c r="G20" i="36"/>
  <c r="F20" i="36"/>
  <c r="D20" i="36"/>
  <c r="B20" i="36"/>
  <c r="A20" i="36"/>
  <c r="I17" i="36"/>
  <c r="I16" i="36"/>
  <c r="I15" i="36"/>
  <c r="I14" i="36"/>
  <c r="I13" i="36"/>
  <c r="I12" i="36"/>
  <c r="I11" i="36"/>
  <c r="I10" i="36"/>
  <c r="I9" i="36"/>
  <c r="I8" i="36"/>
  <c r="I7" i="36"/>
  <c r="I6" i="36"/>
  <c r="F3" i="36"/>
  <c r="H20" i="35"/>
  <c r="G20" i="35"/>
  <c r="F20" i="35"/>
  <c r="D20" i="35"/>
  <c r="B20" i="35"/>
  <c r="A20" i="35"/>
  <c r="C20" i="35" s="1"/>
  <c r="I17" i="35"/>
  <c r="I16" i="35"/>
  <c r="I15" i="35"/>
  <c r="I14" i="35"/>
  <c r="I13" i="35"/>
  <c r="I12" i="35"/>
  <c r="I11" i="35"/>
  <c r="I10" i="35"/>
  <c r="I9" i="35"/>
  <c r="I8" i="35"/>
  <c r="I7" i="35"/>
  <c r="I6" i="35"/>
  <c r="F3" i="35"/>
  <c r="H20" i="34"/>
  <c r="G20" i="34"/>
  <c r="F20" i="34"/>
  <c r="D20" i="34"/>
  <c r="B20" i="34"/>
  <c r="A20" i="34"/>
  <c r="C20" i="34" s="1"/>
  <c r="I17" i="34"/>
  <c r="I16" i="34"/>
  <c r="I15" i="34"/>
  <c r="I14" i="34"/>
  <c r="I13" i="34"/>
  <c r="I12" i="34"/>
  <c r="I11" i="34"/>
  <c r="I10" i="34"/>
  <c r="I9" i="34"/>
  <c r="I8" i="34"/>
  <c r="I7" i="34"/>
  <c r="I6" i="34"/>
  <c r="F3" i="34"/>
  <c r="H20" i="33"/>
  <c r="G20" i="33"/>
  <c r="F20" i="33"/>
  <c r="D20" i="33"/>
  <c r="B20" i="33"/>
  <c r="A20" i="33"/>
  <c r="I17" i="33"/>
  <c r="I16" i="33"/>
  <c r="I15" i="33"/>
  <c r="I14" i="33"/>
  <c r="I13" i="33"/>
  <c r="I12" i="33"/>
  <c r="I11" i="33"/>
  <c r="I10" i="33"/>
  <c r="I9" i="33"/>
  <c r="I8" i="33"/>
  <c r="I7" i="33"/>
  <c r="I6" i="33"/>
  <c r="F3" i="33"/>
  <c r="H20" i="32"/>
  <c r="G20" i="32"/>
  <c r="F20" i="32"/>
  <c r="D20" i="32"/>
  <c r="B20" i="32"/>
  <c r="A20" i="32"/>
  <c r="C20" i="32" s="1"/>
  <c r="I17" i="32"/>
  <c r="I16" i="32"/>
  <c r="I15" i="32"/>
  <c r="I14" i="32"/>
  <c r="I13" i="32"/>
  <c r="I12" i="32"/>
  <c r="I11" i="32"/>
  <c r="I10" i="32"/>
  <c r="I9" i="32"/>
  <c r="I8" i="32"/>
  <c r="I7" i="32"/>
  <c r="I6" i="32"/>
  <c r="F3" i="32"/>
  <c r="H20" i="31"/>
  <c r="G20" i="31"/>
  <c r="F20" i="31"/>
  <c r="D20" i="31"/>
  <c r="B20" i="31"/>
  <c r="A20" i="31"/>
  <c r="I17" i="31"/>
  <c r="I16" i="31"/>
  <c r="I15" i="31"/>
  <c r="I14" i="31"/>
  <c r="I13" i="31"/>
  <c r="I12" i="31"/>
  <c r="I11" i="31"/>
  <c r="I10" i="31"/>
  <c r="I9" i="31"/>
  <c r="I8" i="31"/>
  <c r="I7" i="31"/>
  <c r="I6" i="31"/>
  <c r="F3" i="31"/>
  <c r="H20" i="30"/>
  <c r="G20" i="30"/>
  <c r="F20" i="30"/>
  <c r="D20" i="30"/>
  <c r="B20" i="30"/>
  <c r="A20" i="30"/>
  <c r="C20" i="30" s="1"/>
  <c r="I17" i="30"/>
  <c r="I16" i="30"/>
  <c r="I15" i="30"/>
  <c r="I14" i="30"/>
  <c r="I13" i="30"/>
  <c r="I12" i="30"/>
  <c r="I11" i="30"/>
  <c r="I10" i="30"/>
  <c r="I9" i="30"/>
  <c r="I8" i="30"/>
  <c r="I7" i="30"/>
  <c r="I6" i="30"/>
  <c r="F3" i="30"/>
  <c r="H20" i="29"/>
  <c r="G20" i="29"/>
  <c r="F20" i="29"/>
  <c r="D20" i="29"/>
  <c r="B20" i="29"/>
  <c r="A20" i="29"/>
  <c r="I17" i="29"/>
  <c r="I16" i="29"/>
  <c r="I15" i="29"/>
  <c r="I14" i="29"/>
  <c r="I13" i="29"/>
  <c r="I12" i="29"/>
  <c r="I11" i="29"/>
  <c r="I10" i="29"/>
  <c r="I9" i="29"/>
  <c r="I8" i="29"/>
  <c r="I7" i="29"/>
  <c r="I6" i="29"/>
  <c r="F3" i="29"/>
  <c r="H20" i="28"/>
  <c r="G20" i="28"/>
  <c r="F20" i="28"/>
  <c r="D20" i="28"/>
  <c r="B20" i="28"/>
  <c r="A20" i="28"/>
  <c r="C20" i="28" s="1"/>
  <c r="I17" i="28"/>
  <c r="I16" i="28"/>
  <c r="I15" i="28"/>
  <c r="I14" i="28"/>
  <c r="I13" i="28"/>
  <c r="I12" i="28"/>
  <c r="I11" i="28"/>
  <c r="I10" i="28"/>
  <c r="I9" i="28"/>
  <c r="I8" i="28"/>
  <c r="I7" i="28"/>
  <c r="I6" i="28"/>
  <c r="F3" i="28"/>
  <c r="H20" i="27"/>
  <c r="G20" i="27"/>
  <c r="F20" i="27"/>
  <c r="D20" i="27"/>
  <c r="B20" i="27"/>
  <c r="A20" i="27"/>
  <c r="I17" i="27"/>
  <c r="I16" i="27"/>
  <c r="I15" i="27"/>
  <c r="I14" i="27"/>
  <c r="I13" i="27"/>
  <c r="I12" i="27"/>
  <c r="I11" i="27"/>
  <c r="I10" i="27"/>
  <c r="I9" i="27"/>
  <c r="I8" i="27"/>
  <c r="I7" i="27"/>
  <c r="I6" i="27"/>
  <c r="F3" i="27"/>
  <c r="H20" i="26"/>
  <c r="G20" i="26"/>
  <c r="F20" i="26"/>
  <c r="D20" i="26"/>
  <c r="B20" i="26"/>
  <c r="A20" i="26"/>
  <c r="C20" i="26" s="1"/>
  <c r="I17" i="26"/>
  <c r="I16" i="26"/>
  <c r="I15" i="26"/>
  <c r="I14" i="26"/>
  <c r="I13" i="26"/>
  <c r="I12" i="26"/>
  <c r="I11" i="26"/>
  <c r="I10" i="26"/>
  <c r="I9" i="26"/>
  <c r="I8" i="26"/>
  <c r="I7" i="26"/>
  <c r="I6" i="26"/>
  <c r="F3" i="26"/>
  <c r="H20" i="25"/>
  <c r="G20" i="25"/>
  <c r="F20" i="25"/>
  <c r="D20" i="25"/>
  <c r="B20" i="25"/>
  <c r="A20" i="25"/>
  <c r="C20" i="25" s="1"/>
  <c r="I17" i="25"/>
  <c r="I16" i="25"/>
  <c r="I15" i="25"/>
  <c r="I14" i="25"/>
  <c r="I13" i="25"/>
  <c r="I12" i="25"/>
  <c r="I11" i="25"/>
  <c r="I10" i="25"/>
  <c r="I9" i="25"/>
  <c r="I8" i="25"/>
  <c r="I7" i="25"/>
  <c r="I6" i="25"/>
  <c r="F3" i="25"/>
  <c r="D20" i="24"/>
  <c r="I17" i="24"/>
  <c r="I16" i="24"/>
  <c r="I15" i="24"/>
  <c r="I14" i="24"/>
  <c r="I13" i="24"/>
  <c r="I12" i="24"/>
  <c r="I11" i="24"/>
  <c r="I10" i="24"/>
  <c r="I9" i="24"/>
  <c r="I8" i="24"/>
  <c r="I7" i="24"/>
  <c r="I6" i="24"/>
  <c r="I5" i="24"/>
  <c r="I4" i="24"/>
  <c r="D3" i="24"/>
  <c r="D33" i="51" s="1"/>
  <c r="H20" i="23"/>
  <c r="G20" i="23" s="1"/>
  <c r="F20" i="23"/>
  <c r="D20" i="23"/>
  <c r="C20" i="23"/>
  <c r="B20" i="23"/>
  <c r="A20" i="23" s="1"/>
  <c r="I17" i="23"/>
  <c r="I16" i="23"/>
  <c r="I15" i="23"/>
  <c r="I14" i="23"/>
  <c r="I13" i="23"/>
  <c r="I12" i="23"/>
  <c r="I11" i="23"/>
  <c r="I10" i="23"/>
  <c r="I9" i="23"/>
  <c r="I8" i="23"/>
  <c r="I7" i="23"/>
  <c r="I6" i="23"/>
  <c r="I5" i="23"/>
  <c r="I4" i="23"/>
  <c r="F3" i="23"/>
  <c r="D3" i="23"/>
  <c r="D32" i="51" s="1"/>
  <c r="I17" i="22"/>
  <c r="I16" i="22"/>
  <c r="I15" i="22"/>
  <c r="I14" i="22"/>
  <c r="I13" i="22"/>
  <c r="I12" i="22"/>
  <c r="I11" i="22"/>
  <c r="I10" i="22"/>
  <c r="I9" i="22"/>
  <c r="I8" i="22"/>
  <c r="I7" i="22"/>
  <c r="D3" i="22"/>
  <c r="D31" i="51" s="1"/>
  <c r="I17" i="21"/>
  <c r="I16" i="21"/>
  <c r="I15" i="21"/>
  <c r="I14" i="21"/>
  <c r="I13" i="21"/>
  <c r="I12" i="21"/>
  <c r="I11" i="21"/>
  <c r="I10" i="21"/>
  <c r="I9" i="21"/>
  <c r="D3" i="21"/>
  <c r="D30" i="51" s="1"/>
  <c r="I17" i="20"/>
  <c r="I16" i="20"/>
  <c r="I15" i="20"/>
  <c r="I14" i="20"/>
  <c r="I13" i="20"/>
  <c r="I12" i="20"/>
  <c r="I11" i="20"/>
  <c r="D3" i="20"/>
  <c r="D29" i="51" s="1"/>
  <c r="H20" i="19"/>
  <c r="G20" i="19" s="1"/>
  <c r="D20" i="19"/>
  <c r="I17" i="19"/>
  <c r="I16" i="19"/>
  <c r="I15" i="19"/>
  <c r="I14" i="19"/>
  <c r="I13" i="19"/>
  <c r="I12" i="19"/>
  <c r="I11" i="19"/>
  <c r="I10" i="19"/>
  <c r="I9" i="19"/>
  <c r="I8" i="19"/>
  <c r="I7" i="19"/>
  <c r="D3" i="19"/>
  <c r="D28" i="51" s="1"/>
  <c r="I17" i="18"/>
  <c r="I16" i="18"/>
  <c r="I15" i="18"/>
  <c r="I14" i="18"/>
  <c r="F3" i="18"/>
  <c r="D20" i="17"/>
  <c r="I17" i="17"/>
  <c r="I16" i="17"/>
  <c r="I15" i="17"/>
  <c r="I14" i="17"/>
  <c r="I13" i="17"/>
  <c r="I12" i="17"/>
  <c r="I11" i="17"/>
  <c r="I10" i="17"/>
  <c r="I9" i="17"/>
  <c r="I8" i="17"/>
  <c r="I7" i="17"/>
  <c r="F20" i="16"/>
  <c r="D20" i="16"/>
  <c r="I17" i="16"/>
  <c r="I16" i="16"/>
  <c r="I15" i="16"/>
  <c r="I14" i="16"/>
  <c r="I13" i="16"/>
  <c r="I12" i="16"/>
  <c r="I11" i="16"/>
  <c r="I10" i="16"/>
  <c r="I9" i="16"/>
  <c r="I8" i="16"/>
  <c r="I7" i="16"/>
  <c r="I6" i="16"/>
  <c r="I5" i="16"/>
  <c r="I4" i="16"/>
  <c r="F3" i="16"/>
  <c r="D3" i="16"/>
  <c r="D25" i="51" s="1"/>
  <c r="F20" i="15"/>
  <c r="I17" i="15"/>
  <c r="I16" i="15"/>
  <c r="I15" i="15"/>
  <c r="I14" i="15"/>
  <c r="I13" i="15"/>
  <c r="I12" i="15"/>
  <c r="I11" i="15"/>
  <c r="I10" i="15"/>
  <c r="I9" i="15"/>
  <c r="I8" i="15"/>
  <c r="I7" i="15"/>
  <c r="I17" i="14"/>
  <c r="I16" i="14"/>
  <c r="I15" i="14"/>
  <c r="I14" i="14"/>
  <c r="I13" i="14"/>
  <c r="I17" i="13"/>
  <c r="I16" i="13"/>
  <c r="I15" i="13"/>
  <c r="I14" i="13"/>
  <c r="I13" i="13"/>
  <c r="I12" i="13"/>
  <c r="I11" i="13"/>
  <c r="I10" i="13"/>
  <c r="I9" i="13"/>
  <c r="I8" i="13"/>
  <c r="F20" i="12"/>
  <c r="D20" i="12"/>
  <c r="I17" i="12"/>
  <c r="I16" i="12"/>
  <c r="I15" i="12"/>
  <c r="I14" i="12"/>
  <c r="I13" i="12"/>
  <c r="I12" i="12"/>
  <c r="I11" i="12"/>
  <c r="I10" i="12"/>
  <c r="I9" i="12"/>
  <c r="I8" i="12"/>
  <c r="I7" i="12"/>
  <c r="H20" i="11"/>
  <c r="G20" i="11" s="1"/>
  <c r="F20" i="11"/>
  <c r="D20" i="11"/>
  <c r="B20" i="11"/>
  <c r="I17" i="11"/>
  <c r="I16" i="11"/>
  <c r="I15" i="11"/>
  <c r="I14" i="11"/>
  <c r="I13" i="11"/>
  <c r="I12" i="11"/>
  <c r="I11" i="11"/>
  <c r="I10" i="11"/>
  <c r="I9" i="11"/>
  <c r="I8" i="11"/>
  <c r="I7" i="11"/>
  <c r="I6" i="11"/>
  <c r="I5" i="11"/>
  <c r="I4" i="11"/>
  <c r="F3" i="11"/>
  <c r="D3" i="11"/>
  <c r="D20" i="51" s="1"/>
  <c r="F20" i="10"/>
  <c r="B20" i="10"/>
  <c r="A20" i="10" s="1"/>
  <c r="I17" i="10"/>
  <c r="I16" i="10"/>
  <c r="I15" i="10"/>
  <c r="I14" i="10"/>
  <c r="I13" i="10"/>
  <c r="I12" i="10"/>
  <c r="I11" i="10"/>
  <c r="I10" i="10"/>
  <c r="I9" i="10"/>
  <c r="I8" i="10"/>
  <c r="I7" i="10"/>
  <c r="F3" i="10"/>
  <c r="H20" i="9"/>
  <c r="G20" i="9" s="1"/>
  <c r="B20" i="9"/>
  <c r="A20" i="9" s="1"/>
  <c r="I17" i="9"/>
  <c r="I16" i="9"/>
  <c r="I15" i="9"/>
  <c r="I14" i="9"/>
  <c r="I13" i="9"/>
  <c r="I12" i="9"/>
  <c r="D20" i="8"/>
  <c r="B20" i="8"/>
  <c r="A20" i="8" s="1"/>
  <c r="I17" i="8"/>
  <c r="I16" i="8"/>
  <c r="I15" i="8"/>
  <c r="I14" i="8"/>
  <c r="I13" i="8"/>
  <c r="I12" i="8"/>
  <c r="I11" i="8"/>
  <c r="I10" i="8"/>
  <c r="I9" i="8"/>
  <c r="I8" i="8"/>
  <c r="I7" i="8"/>
  <c r="I6" i="8"/>
  <c r="I17" i="7"/>
  <c r="I16" i="7"/>
  <c r="I15" i="7"/>
  <c r="I14" i="7"/>
  <c r="I13" i="7"/>
  <c r="I12" i="7"/>
  <c r="I11" i="7"/>
  <c r="I10" i="7"/>
  <c r="I9" i="7"/>
  <c r="I8" i="7"/>
  <c r="I7" i="7"/>
  <c r="D3" i="7"/>
  <c r="D16" i="51" s="1"/>
  <c r="I17" i="6"/>
  <c r="I16" i="6"/>
  <c r="I15" i="6"/>
  <c r="I14" i="6"/>
  <c r="I13" i="6"/>
  <c r="I12" i="6"/>
  <c r="I11" i="6"/>
  <c r="I10" i="6"/>
  <c r="I9" i="6"/>
  <c r="D3" i="6"/>
  <c r="D15" i="51" s="1"/>
  <c r="H20" i="5"/>
  <c r="G20" i="5" s="1"/>
  <c r="I17" i="5"/>
  <c r="I16" i="5"/>
  <c r="I15" i="5"/>
  <c r="I14" i="5"/>
  <c r="I13" i="5"/>
  <c r="I12" i="5"/>
  <c r="I11" i="5"/>
  <c r="F3" i="5"/>
  <c r="D3" i="5"/>
  <c r="D14" i="51" s="1"/>
  <c r="D20" i="4"/>
  <c r="B20" i="4"/>
  <c r="I17" i="4"/>
  <c r="I16" i="4"/>
  <c r="I15" i="4"/>
  <c r="I14" i="4"/>
  <c r="I13" i="4"/>
  <c r="I12" i="4"/>
  <c r="I11" i="4"/>
  <c r="I10" i="4"/>
  <c r="I9" i="4"/>
  <c r="I8" i="4"/>
  <c r="F3" i="4"/>
  <c r="F20" i="3"/>
  <c r="D20" i="3"/>
  <c r="B20" i="3"/>
  <c r="A20" i="3" s="1"/>
  <c r="I17" i="3"/>
  <c r="I16" i="3"/>
  <c r="I15" i="3"/>
  <c r="I14" i="3"/>
  <c r="I13" i="3"/>
  <c r="I12" i="3"/>
  <c r="I11" i="3"/>
  <c r="I10" i="3"/>
  <c r="I9" i="3"/>
  <c r="F3" i="3"/>
  <c r="I17" i="2"/>
  <c r="I16" i="2"/>
  <c r="I15" i="2"/>
  <c r="I14" i="2"/>
  <c r="I13" i="2"/>
  <c r="I12" i="2"/>
  <c r="I11" i="2"/>
  <c r="I10" i="2"/>
  <c r="I9" i="2"/>
  <c r="I8" i="2"/>
  <c r="F20" i="1"/>
  <c r="I17" i="1"/>
  <c r="I16" i="1"/>
  <c r="I15" i="1"/>
  <c r="I14" i="1"/>
  <c r="I13" i="1"/>
  <c r="I12" i="1"/>
  <c r="I11" i="1"/>
  <c r="I10" i="1"/>
  <c r="I9" i="1"/>
  <c r="I8" i="1"/>
  <c r="I7" i="1"/>
  <c r="F3" i="1"/>
  <c r="D3" i="1"/>
  <c r="D10" i="51" s="1"/>
  <c r="F20" i="24" l="1"/>
  <c r="B20" i="24"/>
  <c r="H20" i="24"/>
  <c r="G20" i="24" s="1"/>
  <c r="F3" i="22"/>
  <c r="H20" i="22"/>
  <c r="G20" i="22" s="1"/>
  <c r="D20" i="22"/>
  <c r="C20" i="22" s="1"/>
  <c r="F20" i="22"/>
  <c r="F20" i="21"/>
  <c r="H20" i="21"/>
  <c r="G20" i="21" s="1"/>
  <c r="D20" i="21"/>
  <c r="B20" i="21"/>
  <c r="F3" i="21"/>
  <c r="A20" i="21"/>
  <c r="H20" i="20"/>
  <c r="G20" i="20" s="1"/>
  <c r="B20" i="20"/>
  <c r="F3" i="20"/>
  <c r="F20" i="20"/>
  <c r="D20" i="20"/>
  <c r="F20" i="19"/>
  <c r="B20" i="19"/>
  <c r="A20" i="19" s="1"/>
  <c r="C20" i="19" s="1"/>
  <c r="I6" i="19" s="1"/>
  <c r="F3" i="19"/>
  <c r="H20" i="18"/>
  <c r="G20" i="18" s="1"/>
  <c r="D20" i="18"/>
  <c r="B20" i="18"/>
  <c r="H20" i="17"/>
  <c r="G20" i="17" s="1"/>
  <c r="F3" i="17"/>
  <c r="B20" i="16"/>
  <c r="H20" i="15"/>
  <c r="G20" i="15" s="1"/>
  <c r="F3" i="15"/>
  <c r="B20" i="15"/>
  <c r="A20" i="15" s="1"/>
  <c r="D20" i="15"/>
  <c r="H20" i="14"/>
  <c r="G20" i="14" s="1"/>
  <c r="B20" i="14"/>
  <c r="A20" i="14" s="1"/>
  <c r="F3" i="14"/>
  <c r="F20" i="14"/>
  <c r="D20" i="14"/>
  <c r="B20" i="13"/>
  <c r="A20" i="13" s="1"/>
  <c r="F3" i="13"/>
  <c r="D20" i="13"/>
  <c r="H20" i="12"/>
  <c r="G20" i="12" s="1"/>
  <c r="F3" i="12"/>
  <c r="B20" i="12"/>
  <c r="A20" i="12" s="1"/>
  <c r="C20" i="12" s="1"/>
  <c r="D20" i="10"/>
  <c r="C20" i="10" s="1"/>
  <c r="F20" i="9"/>
  <c r="D20" i="9"/>
  <c r="C20" i="9" s="1"/>
  <c r="I7" i="9" s="1"/>
  <c r="F3" i="9"/>
  <c r="F3" i="8"/>
  <c r="C20" i="8"/>
  <c r="I5" i="8" s="1"/>
  <c r="F20" i="8"/>
  <c r="H20" i="8"/>
  <c r="G20" i="8" s="1"/>
  <c r="H20" i="7"/>
  <c r="G20" i="7" s="1"/>
  <c r="D20" i="7"/>
  <c r="B20" i="7"/>
  <c r="H20" i="6"/>
  <c r="G20" i="6" s="1"/>
  <c r="F3" i="6"/>
  <c r="D20" i="6"/>
  <c r="C20" i="6" s="1"/>
  <c r="F20" i="6"/>
  <c r="F20" i="5"/>
  <c r="D20" i="5"/>
  <c r="B20" i="5"/>
  <c r="A20" i="5" s="1"/>
  <c r="H20" i="4"/>
  <c r="G20" i="4" s="1"/>
  <c r="F20" i="4"/>
  <c r="A20" i="4"/>
  <c r="C20" i="4" s="1"/>
  <c r="H20" i="3"/>
  <c r="G20" i="3" s="1"/>
  <c r="C20" i="3"/>
  <c r="I6" i="3" s="1"/>
  <c r="F3" i="2"/>
  <c r="B20" i="2"/>
  <c r="A20" i="2" s="1"/>
  <c r="H20" i="2"/>
  <c r="G20" i="2" s="1"/>
  <c r="D20" i="2"/>
  <c r="F20" i="2"/>
  <c r="H20" i="1"/>
  <c r="G20" i="1" s="1"/>
  <c r="A20" i="1"/>
  <c r="C20" i="1" s="1"/>
  <c r="I4" i="1" s="1"/>
  <c r="H22" i="8"/>
  <c r="H23" i="8" s="1"/>
  <c r="A20" i="11"/>
  <c r="E20" i="11"/>
  <c r="A20" i="20"/>
  <c r="I5" i="41"/>
  <c r="I4" i="41"/>
  <c r="I3" i="41"/>
  <c r="I5" i="43"/>
  <c r="I4" i="43"/>
  <c r="I3" i="43"/>
  <c r="E20" i="43" s="1"/>
  <c r="I5" i="47"/>
  <c r="I4" i="47"/>
  <c r="I3" i="47"/>
  <c r="E20" i="47" s="1"/>
  <c r="I4" i="30"/>
  <c r="I3" i="30"/>
  <c r="E20" i="30" s="1"/>
  <c r="I5" i="30"/>
  <c r="E20" i="41"/>
  <c r="H22" i="41" s="1"/>
  <c r="H23" i="41" s="1"/>
  <c r="I4" i="42"/>
  <c r="I3" i="42"/>
  <c r="I5" i="42"/>
  <c r="E20" i="42" s="1"/>
  <c r="I3" i="19"/>
  <c r="I4" i="28"/>
  <c r="I3" i="28"/>
  <c r="E20" i="28" s="1"/>
  <c r="I5" i="28"/>
  <c r="I4" i="40"/>
  <c r="I3" i="40"/>
  <c r="E20" i="40" s="1"/>
  <c r="I5" i="40"/>
  <c r="C20" i="11"/>
  <c r="I5" i="35"/>
  <c r="I4" i="35"/>
  <c r="I3" i="35"/>
  <c r="E20" i="35" s="1"/>
  <c r="I5" i="45"/>
  <c r="I4" i="45"/>
  <c r="I3" i="45"/>
  <c r="E20" i="45" s="1"/>
  <c r="I5" i="49"/>
  <c r="I4" i="49"/>
  <c r="I3" i="49"/>
  <c r="E20" i="49" s="1"/>
  <c r="I5" i="25"/>
  <c r="E20" i="25" s="1"/>
  <c r="I4" i="25"/>
  <c r="I3" i="25"/>
  <c r="I5" i="37"/>
  <c r="I4" i="37"/>
  <c r="I3" i="37"/>
  <c r="E20" i="37" s="1"/>
  <c r="I4" i="34"/>
  <c r="I3" i="34"/>
  <c r="I5" i="34"/>
  <c r="E20" i="34" s="1"/>
  <c r="I4" i="26"/>
  <c r="E20" i="26" s="1"/>
  <c r="I3" i="26"/>
  <c r="I5" i="26"/>
  <c r="E20" i="32"/>
  <c r="E3" i="32" s="1"/>
  <c r="I4" i="32"/>
  <c r="I3" i="32"/>
  <c r="I5" i="32"/>
  <c r="I4" i="38"/>
  <c r="E20" i="38" s="1"/>
  <c r="I3" i="38"/>
  <c r="I5" i="38"/>
  <c r="C20" i="17"/>
  <c r="I5" i="19"/>
  <c r="I5" i="39"/>
  <c r="I4" i="39"/>
  <c r="I3" i="39"/>
  <c r="E20" i="39" s="1"/>
  <c r="I3" i="23"/>
  <c r="C20" i="27"/>
  <c r="C20" i="29"/>
  <c r="C20" i="31"/>
  <c r="C20" i="33"/>
  <c r="E20" i="23"/>
  <c r="H22" i="23" s="1"/>
  <c r="H23" i="23" s="1"/>
  <c r="A20" i="44"/>
  <c r="C20" i="44" s="1"/>
  <c r="A20" i="46"/>
  <c r="A20" i="48"/>
  <c r="C20" i="48" s="1"/>
  <c r="A20" i="50"/>
  <c r="C20" i="36"/>
  <c r="C20" i="46"/>
  <c r="C20" i="50"/>
  <c r="C20" i="24" l="1"/>
  <c r="A20" i="24"/>
  <c r="E20" i="24"/>
  <c r="I6" i="22"/>
  <c r="I3" i="22"/>
  <c r="H22" i="22"/>
  <c r="H23" i="22" s="1"/>
  <c r="E3" i="22"/>
  <c r="E31" i="51" s="1"/>
  <c r="F31" i="51" s="1"/>
  <c r="E20" i="22"/>
  <c r="I5" i="22"/>
  <c r="I4" i="22"/>
  <c r="C20" i="21"/>
  <c r="I7" i="21" s="1"/>
  <c r="I3" i="21"/>
  <c r="I8" i="21"/>
  <c r="C20" i="20"/>
  <c r="I3" i="20" s="1"/>
  <c r="I4" i="19"/>
  <c r="E20" i="19" s="1"/>
  <c r="A20" i="18"/>
  <c r="C20" i="18" s="1"/>
  <c r="E20" i="16"/>
  <c r="E3" i="16" s="1"/>
  <c r="E25" i="51" s="1"/>
  <c r="F25" i="51" s="1"/>
  <c r="C20" i="16"/>
  <c r="A20" i="16"/>
  <c r="C20" i="15"/>
  <c r="E20" i="15" s="1"/>
  <c r="C20" i="14"/>
  <c r="I8" i="14" s="1"/>
  <c r="C20" i="13"/>
  <c r="I3" i="13" s="1"/>
  <c r="H22" i="10"/>
  <c r="H23" i="10" s="1"/>
  <c r="I5" i="10"/>
  <c r="E20" i="10"/>
  <c r="I4" i="10"/>
  <c r="I3" i="10"/>
  <c r="I6" i="10"/>
  <c r="E3" i="10"/>
  <c r="E19" i="51" s="1"/>
  <c r="F19" i="51" s="1"/>
  <c r="I3" i="9"/>
  <c r="I9" i="9"/>
  <c r="I11" i="9"/>
  <c r="I5" i="9"/>
  <c r="I4" i="9"/>
  <c r="I6" i="9"/>
  <c r="I10" i="9"/>
  <c r="I8" i="9"/>
  <c r="I3" i="8"/>
  <c r="I4" i="8"/>
  <c r="E20" i="8"/>
  <c r="E3" i="8"/>
  <c r="E17" i="51" s="1"/>
  <c r="F17" i="51" s="1"/>
  <c r="A20" i="7"/>
  <c r="C20" i="7" s="1"/>
  <c r="C20" i="5"/>
  <c r="I9" i="5" s="1"/>
  <c r="I10" i="5"/>
  <c r="I4" i="5"/>
  <c r="I3" i="5"/>
  <c r="I7" i="4"/>
  <c r="I4" i="4"/>
  <c r="I3" i="4"/>
  <c r="I5" i="4"/>
  <c r="I6" i="4"/>
  <c r="I8" i="3"/>
  <c r="I5" i="3"/>
  <c r="I3" i="3"/>
  <c r="I7" i="3"/>
  <c r="I4" i="3"/>
  <c r="C20" i="2"/>
  <c r="I7" i="2" s="1"/>
  <c r="I5" i="1"/>
  <c r="I6" i="1"/>
  <c r="I3" i="1"/>
  <c r="H22" i="30"/>
  <c r="H23" i="30" s="1"/>
  <c r="E3" i="30"/>
  <c r="E3" i="25"/>
  <c r="H22" i="25"/>
  <c r="H23" i="25" s="1"/>
  <c r="E3" i="42"/>
  <c r="H22" i="42"/>
  <c r="H23" i="42" s="1"/>
  <c r="H22" i="37"/>
  <c r="H23" i="37" s="1"/>
  <c r="E3" i="37"/>
  <c r="H22" i="43"/>
  <c r="H23" i="43" s="1"/>
  <c r="E3" i="43"/>
  <c r="I4" i="48"/>
  <c r="I3" i="48"/>
  <c r="I5" i="48"/>
  <c r="E20" i="48"/>
  <c r="H22" i="48" s="1"/>
  <c r="H23" i="48" s="1"/>
  <c r="H22" i="38"/>
  <c r="H23" i="38" s="1"/>
  <c r="E3" i="38"/>
  <c r="H22" i="26"/>
  <c r="H23" i="26" s="1"/>
  <c r="E3" i="26"/>
  <c r="H22" i="45"/>
  <c r="H23" i="45" s="1"/>
  <c r="E3" i="45"/>
  <c r="H22" i="28"/>
  <c r="H23" i="28" s="1"/>
  <c r="E3" i="28"/>
  <c r="I3" i="12"/>
  <c r="H22" i="12"/>
  <c r="H23" i="12" s="1"/>
  <c r="E3" i="12"/>
  <c r="E21" i="51" s="1"/>
  <c r="F21" i="51" s="1"/>
  <c r="I6" i="12"/>
  <c r="E20" i="12"/>
  <c r="I5" i="12"/>
  <c r="I4" i="12"/>
  <c r="H22" i="49"/>
  <c r="H23" i="49" s="1"/>
  <c r="E3" i="49"/>
  <c r="H22" i="35"/>
  <c r="H23" i="35" s="1"/>
  <c r="E3" i="35"/>
  <c r="E20" i="29"/>
  <c r="H22" i="29" s="1"/>
  <c r="H23" i="29" s="1"/>
  <c r="H22" i="47"/>
  <c r="H23" i="47" s="1"/>
  <c r="E3" i="47"/>
  <c r="H22" i="39"/>
  <c r="H23" i="39" s="1"/>
  <c r="E3" i="39"/>
  <c r="E3" i="34"/>
  <c r="H22" i="34"/>
  <c r="H23" i="34" s="1"/>
  <c r="H22" i="40"/>
  <c r="H23" i="40" s="1"/>
  <c r="E3" i="40"/>
  <c r="I4" i="36"/>
  <c r="E20" i="36" s="1"/>
  <c r="I3" i="36"/>
  <c r="I5" i="36"/>
  <c r="I5" i="33"/>
  <c r="I4" i="33"/>
  <c r="I3" i="33"/>
  <c r="I4" i="50"/>
  <c r="I3" i="50"/>
  <c r="H22" i="50"/>
  <c r="H23" i="50" s="1"/>
  <c r="I5" i="50"/>
  <c r="H22" i="32"/>
  <c r="H23" i="32" s="1"/>
  <c r="E20" i="50"/>
  <c r="E3" i="50" s="1"/>
  <c r="I5" i="27"/>
  <c r="I4" i="27"/>
  <c r="I3" i="27"/>
  <c r="E20" i="27" s="1"/>
  <c r="E3" i="27" s="1"/>
  <c r="H22" i="27"/>
  <c r="H23" i="27" s="1"/>
  <c r="I5" i="17"/>
  <c r="I4" i="17"/>
  <c r="I3" i="17"/>
  <c r="I6" i="17"/>
  <c r="I5" i="29"/>
  <c r="I4" i="29"/>
  <c r="I3" i="29"/>
  <c r="I4" i="46"/>
  <c r="E20" i="46" s="1"/>
  <c r="I3" i="46"/>
  <c r="I5" i="46"/>
  <c r="I4" i="44"/>
  <c r="I3" i="44"/>
  <c r="I5" i="44"/>
  <c r="I5" i="6"/>
  <c r="I4" i="6"/>
  <c r="I6" i="6"/>
  <c r="I3" i="6"/>
  <c r="I8" i="6"/>
  <c r="I7" i="6"/>
  <c r="E20" i="44"/>
  <c r="H22" i="44" s="1"/>
  <c r="H23" i="44" s="1"/>
  <c r="E3" i="41"/>
  <c r="I6" i="15"/>
  <c r="I5" i="15"/>
  <c r="E3" i="23"/>
  <c r="E32" i="51" s="1"/>
  <c r="F32" i="51" s="1"/>
  <c r="I5" i="31"/>
  <c r="I4" i="31"/>
  <c r="I3" i="31"/>
  <c r="E20" i="31" s="1"/>
  <c r="H22" i="31" s="1"/>
  <c r="H23" i="31" s="1"/>
  <c r="I3" i="11"/>
  <c r="H22" i="11"/>
  <c r="H23" i="11" s="1"/>
  <c r="E3" i="11"/>
  <c r="E20" i="51" s="1"/>
  <c r="F20" i="51" s="1"/>
  <c r="E20" i="33"/>
  <c r="H22" i="33" s="1"/>
  <c r="H23" i="33" s="1"/>
  <c r="H22" i="24" l="1"/>
  <c r="H23" i="24" s="1"/>
  <c r="I3" i="24"/>
  <c r="E3" i="24"/>
  <c r="E33" i="51" s="1"/>
  <c r="F33" i="51" s="1"/>
  <c r="I5" i="21"/>
  <c r="I4" i="21"/>
  <c r="E20" i="21" s="1"/>
  <c r="I6" i="21"/>
  <c r="I4" i="20"/>
  <c r="I10" i="20"/>
  <c r="I7" i="20"/>
  <c r="I9" i="20"/>
  <c r="I5" i="20"/>
  <c r="I8" i="20"/>
  <c r="I6" i="20"/>
  <c r="E3" i="19"/>
  <c r="E28" i="51" s="1"/>
  <c r="F28" i="51" s="1"/>
  <c r="H22" i="19"/>
  <c r="H23" i="19" s="1"/>
  <c r="I4" i="18"/>
  <c r="I9" i="18"/>
  <c r="I3" i="18"/>
  <c r="I10" i="18"/>
  <c r="I13" i="18"/>
  <c r="I12" i="18"/>
  <c r="I5" i="18"/>
  <c r="I7" i="18"/>
  <c r="I6" i="18"/>
  <c r="I11" i="18"/>
  <c r="I8" i="18"/>
  <c r="H22" i="16"/>
  <c r="H23" i="16" s="1"/>
  <c r="I3" i="16"/>
  <c r="I4" i="15"/>
  <c r="E3" i="15"/>
  <c r="E24" i="51" s="1"/>
  <c r="F24" i="51" s="1"/>
  <c r="H22" i="15"/>
  <c r="H23" i="15" s="1"/>
  <c r="I3" i="15"/>
  <c r="I9" i="14"/>
  <c r="I5" i="14"/>
  <c r="I12" i="14"/>
  <c r="I10" i="14"/>
  <c r="I6" i="14"/>
  <c r="I3" i="14"/>
  <c r="I11" i="14"/>
  <c r="I7" i="14"/>
  <c r="I4" i="14"/>
  <c r="I4" i="13"/>
  <c r="I5" i="13"/>
  <c r="I6" i="13"/>
  <c r="I7" i="13"/>
  <c r="E20" i="9"/>
  <c r="E3" i="9" s="1"/>
  <c r="E18" i="51" s="1"/>
  <c r="F18" i="51" s="1"/>
  <c r="E3" i="7"/>
  <c r="E16" i="51" s="1"/>
  <c r="F16" i="51" s="1"/>
  <c r="I6" i="7"/>
  <c r="I3" i="7"/>
  <c r="H22" i="7"/>
  <c r="H23" i="7" s="1"/>
  <c r="E20" i="7"/>
  <c r="I5" i="7"/>
  <c r="I4" i="7"/>
  <c r="E20" i="6"/>
  <c r="E3" i="6" s="1"/>
  <c r="E15" i="51" s="1"/>
  <c r="F15" i="51" s="1"/>
  <c r="I5" i="5"/>
  <c r="E20" i="5" s="1"/>
  <c r="I6" i="5"/>
  <c r="I8" i="5"/>
  <c r="I7" i="5"/>
  <c r="E20" i="4"/>
  <c r="E20" i="3"/>
  <c r="E3" i="3" s="1"/>
  <c r="E12" i="51" s="1"/>
  <c r="F12" i="51" s="1"/>
  <c r="I5" i="2"/>
  <c r="E3" i="2"/>
  <c r="E11" i="51" s="1"/>
  <c r="F11" i="51" s="1"/>
  <c r="I6" i="2"/>
  <c r="I4" i="2"/>
  <c r="E20" i="2"/>
  <c r="I3" i="2"/>
  <c r="H22" i="2"/>
  <c r="H23" i="2" s="1"/>
  <c r="E20" i="1"/>
  <c r="H22" i="46"/>
  <c r="H23" i="46" s="1"/>
  <c r="E3" i="46"/>
  <c r="H22" i="36"/>
  <c r="H23" i="36" s="1"/>
  <c r="E3" i="36"/>
  <c r="E3" i="33"/>
  <c r="E3" i="48"/>
  <c r="E3" i="31"/>
  <c r="E3" i="44"/>
  <c r="E20" i="17"/>
  <c r="E3" i="29"/>
  <c r="E3" i="21" l="1"/>
  <c r="E30" i="51" s="1"/>
  <c r="F30" i="51" s="1"/>
  <c r="H22" i="21"/>
  <c r="H23" i="21" s="1"/>
  <c r="E20" i="20"/>
  <c r="E3" i="20" s="1"/>
  <c r="E29" i="51" s="1"/>
  <c r="F29" i="51" s="1"/>
  <c r="E20" i="18"/>
  <c r="E20" i="14"/>
  <c r="H22" i="14" s="1"/>
  <c r="H23" i="14" s="1"/>
  <c r="E20" i="13"/>
  <c r="H22" i="13" s="1"/>
  <c r="H23" i="13" s="1"/>
  <c r="H22" i="9"/>
  <c r="H23" i="9" s="1"/>
  <c r="H22" i="6"/>
  <c r="H23" i="6" s="1"/>
  <c r="E3" i="5"/>
  <c r="E14" i="51" s="1"/>
  <c r="F14" i="51" s="1"/>
  <c r="H22" i="5"/>
  <c r="H23" i="5" s="1"/>
  <c r="E3" i="4"/>
  <c r="E13" i="51" s="1"/>
  <c r="F13" i="51" s="1"/>
  <c r="H22" i="4"/>
  <c r="H23" i="4" s="1"/>
  <c r="H22" i="3"/>
  <c r="H23" i="3" s="1"/>
  <c r="H22" i="1"/>
  <c r="H23" i="1" s="1"/>
  <c r="E3" i="1"/>
  <c r="E10" i="51" s="1"/>
  <c r="F10" i="51" s="1"/>
  <c r="E3" i="17"/>
  <c r="E26" i="51" s="1"/>
  <c r="F26" i="51" s="1"/>
  <c r="H22" i="17"/>
  <c r="H23" i="17" s="1"/>
  <c r="H22" i="20" l="1"/>
  <c r="H23" i="20" s="1"/>
  <c r="E3" i="18"/>
  <c r="E27" i="51" s="1"/>
  <c r="F27" i="51" s="1"/>
  <c r="H22" i="18"/>
  <c r="H23" i="18" s="1"/>
  <c r="E3" i="14"/>
  <c r="E23" i="51" s="1"/>
  <c r="F23" i="51" s="1"/>
  <c r="E3" i="13"/>
  <c r="E22" i="51" s="1"/>
  <c r="F22" i="51" s="1"/>
  <c r="F34" i="51" l="1"/>
</calcChain>
</file>

<file path=xl/sharedStrings.xml><?xml version="1.0" encoding="utf-8"?>
<sst xmlns="http://schemas.openxmlformats.org/spreadsheetml/2006/main" count="1604" uniqueCount="192">
  <si>
    <t>ESTIMATIVA DO ITEM</t>
  </si>
  <si>
    <t>ITEM 1</t>
  </si>
  <si>
    <t>MATERIAL OU SERVIÇO</t>
  </si>
  <si>
    <t>UNIDADE</t>
  </si>
  <si>
    <t>QUANT.</t>
  </si>
  <si>
    <t>PREÇO ESTIMADO</t>
  </si>
  <si>
    <t>MENOR PREÇO</t>
  </si>
  <si>
    <t>FONTE DE PESQUISA</t>
  </si>
  <si>
    <t>PREÇOS</t>
  </si>
  <si>
    <t>DESCARTE</t>
  </si>
  <si>
    <r>
      <rPr>
        <b/>
        <sz val="10"/>
        <color rgb="FF000000"/>
        <rFont val="Calibri"/>
        <family val="2"/>
        <charset val="1"/>
      </rPr>
      <t xml:space="preserve">FITA ADESIVA
</t>
    </r>
    <r>
      <rPr>
        <sz val="10"/>
        <color rgb="FF000000"/>
        <rFont val="Calibri"/>
        <family val="2"/>
        <charset val="1"/>
      </rPr>
      <t xml:space="preserve">Em polipropileno;
Dimensões: 48mm x 50m – largura x comprimento;
Incolor;
Com impressão ao longo do comprimento, com intervalos regulares de 5 cm, da inscrição ‘TRE-BA’
Tamanho aproximado da fonte: 1 cm (+ 0,2cm);
Acondicionadas em caixas;
É obrigatório o fornecimento de prova para exame antes da confecção final. </t>
    </r>
  </si>
  <si>
    <t>RL</t>
  </si>
  <si>
    <t>H. C. CORDEIRO</t>
  </si>
  <si>
    <t>BAZAR CRISFER LTDA</t>
  </si>
  <si>
    <t>M R SANDES EIRELI</t>
  </si>
  <si>
    <t>FRAMOT BAZAR E UTILIDADES LTDA</t>
  </si>
  <si>
    <t>DESVIO PADRÃO</t>
  </si>
  <si>
    <t>QUANTIDADE DE PREÇOS COLETADOS</t>
  </si>
  <si>
    <t>COEF.</t>
  </si>
  <si>
    <t>MÉDIA</t>
  </si>
  <si>
    <t>MÉDIA APÓS DESCARTE</t>
  </si>
  <si>
    <t>MEDIANA</t>
  </si>
  <si>
    <t>MENOR PREÇO UNITÁRIO COLETADO PARA O ITEM</t>
  </si>
  <si>
    <t>VALOR UNITÁRIO ESTIMADO</t>
  </si>
  <si>
    <t>VALOR TOTAL</t>
  </si>
  <si>
    <t>DESVIO: desvio padrão dos preços pesquisados, calculados por meio da função DESVPAD do editor de planilhas.</t>
  </si>
  <si>
    <t>COEF.: relação entre o DESVIO e a MÉDIA, expresso em valor percentual.</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</si>
  <si>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</si>
  <si>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</si>
  <si>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</si>
  <si>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</si>
  <si>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VALOR UNITÁRIO: quando COEF. for menor ou igual a 25%, o valor unitário estimado será a MÉDIA dos preços pesquisados; quando COEF. for maior que 25%, o valor unitário será o menor valor dentre a MÉDIA APÓS DESCARTE e a MEDIANA.</t>
  </si>
  <si>
    <t>ITEM 2</t>
  </si>
  <si>
    <t xml:space="preserve">FITA ADESIVA
Em polipropileno;
Dimensões: 48mm x 50m – largura x comprimento;
Incolor;
Sem impressão;
Acondicionadas em caixas com até 100 unidades.
</t>
  </si>
  <si>
    <t>GRAFICA E EDITORA LUAR EIRELI</t>
  </si>
  <si>
    <t>N. T. LUIZE EIRELI</t>
  </si>
  <si>
    <t>GREEN &amp; WHITE DISTRIBUICAO DE ALIMENTOS LTDA</t>
  </si>
  <si>
    <t>BRUNO EDUARDO M. DE OLIVEIRA</t>
  </si>
  <si>
    <t>RONDONIA PARAFUSOS E FERRAGENS EIRELI</t>
  </si>
  <si>
    <t>ITEM 3</t>
  </si>
  <si>
    <t xml:space="preserve">FOLHA ISOPOR
Comprimento: 1 m;
Largura: 0,50 m;
Espessura: 25 mm.
Podendo variar em +/- 0,5cm
</t>
  </si>
  <si>
    <t>unidade</t>
  </si>
  <si>
    <t>IGOR RAPHAEL GUIMARAES SOARES</t>
  </si>
  <si>
    <t>LIVRARIA E PAPELARIA RENASCER LTDA</t>
  </si>
  <si>
    <t>JRP REPRESENTACOES COMERCIO E SERVICOS EIRELI</t>
  </si>
  <si>
    <t>S D DE A FERREIRA &amp; CIA LTDA</t>
  </si>
  <si>
    <t>OKK SOLUCOES COMERCIAIS LTDA</t>
  </si>
  <si>
    <t>ITEM 4</t>
  </si>
  <si>
    <t>SACO PLÁSTICO
Em polipropileno;
Transparente;
Dimensão: 30 x 40 cm (largura x altura);
Espessura mínima de 6 micras;
Embalagem: pacote com 100 unidades.</t>
  </si>
  <si>
    <t>PC</t>
  </si>
  <si>
    <t>J. R. COMERCIO E LOCACAO DE VEICULOS EIRELI</t>
  </si>
  <si>
    <t>KELLY A. D. S. MINIOLI COMERCIO DE PRODUTOS</t>
  </si>
  <si>
    <t>TERRAFAR HOSPITALAR EIRELI</t>
  </si>
  <si>
    <t>CETRO</t>
  </si>
  <si>
    <t>PLASUL EMBALAGENS</t>
  </si>
  <si>
    <t>ITEM 5</t>
  </si>
  <si>
    <t>CAIXA ARQUIVO
Confeccionadas em papelão;
Parede simples;
Paredes externas na cor branca;
Baixa acidez (ph acima de 6);
Dimensões da caixa montada: (14,0 x 24,0 x 38,0) cm, correspondendo respectivamente a largura, altura e profundidade (podendo variar em +/- 0,5cm);
Em fardos cintados com duas fitas;
Estritamente conforme modelo disponível na Seção de Gestão de Almoxarifado do TRE-BA;
É obrigatório o fornecimento de prova para exame antes da confecção final.</t>
  </si>
  <si>
    <t>RAFA PAPER DISTRIBUIDORA EIRELI</t>
  </si>
  <si>
    <t>SINGULAR COMERCIAL E SERVICOS EIRELI</t>
  </si>
  <si>
    <t>CASA DO PAPELAO</t>
  </si>
  <si>
    <t>DELLA</t>
  </si>
  <si>
    <t>DIA A DIA STORE</t>
  </si>
  <si>
    <t>KALUNGA</t>
  </si>
  <si>
    <t>LEPOK</t>
  </si>
  <si>
    <t>MAGAZINE LUIZA</t>
  </si>
  <si>
    <t>ITEM 6</t>
  </si>
  <si>
    <t>CAIXA DE PAPELÃO
De parede simples;
Confeccionadas em Kraft Gramatura: 450g/m2;
Dimensões da caixa montada: (37 x 29 x 24,5) cm (comprimento x largura x altura). (podendo variar em +/-
0,5cm);
Embalagem: fardo com 25 unidades, cintados com 2 fitas;
Conforme modelo disponível na Seção de Gestão de Almoxarifado do TRE-BA
É obrigatório o fornecimento de prova para exame antes da confecção final</t>
  </si>
  <si>
    <t>BIGPLAST</t>
  </si>
  <si>
    <t>CREATIVE EMBALAGENS</t>
  </si>
  <si>
    <t>NZB EMBALAGENS</t>
  </si>
  <si>
    <t>PKT EMBALAGENS</t>
  </si>
  <si>
    <t>MARILANA STEFANINI MESSA 30003195813</t>
  </si>
  <si>
    <t>ITEM 7</t>
  </si>
  <si>
    <t>CAIXA DE PAPELÃO
De parede simples;
Confeccionadas em Kraft Gramatura: 450 g/m2;
Dimensões da caixa montada: (37 x 29 x 12,5) cm (comprimento x largura x altura). (podendo variar em +/-
0,5cm);
Embalagem: fardo com 25 unidades, cintados com 2 fitas;
Conforme modelo disponível na Seção de Gestão de Almoxarifado do TRE-BA;
É obrigatório o fornecimento de prova para exame antes da confecção final.</t>
  </si>
  <si>
    <t>MAGNANI EMBALAGENS</t>
  </si>
  <si>
    <t>ITEM 8</t>
  </si>
  <si>
    <t>BARBANTE DE ALGODÃO
Cor branca;
Rolo com 250g;
N.º 8;
Em embalagem individual;
Acondicionado em embalagens com até 20 unidades.</t>
  </si>
  <si>
    <t>ANA PAULA CRUZ DOS SANTOS 15160384871</t>
  </si>
  <si>
    <t>J G C DE MESQUITA LOCACAO DE MAO DE OBRA EIRELI</t>
  </si>
  <si>
    <t>ROSENEIDE DA SILVA 31624995691</t>
  </si>
  <si>
    <t>ITEM 9</t>
  </si>
  <si>
    <t xml:space="preserve">FITILHO
Em nylon;
Rolo com 1000g;
Embalados em fardos com até 25 unidades.
</t>
  </si>
  <si>
    <t>E. A. SCHMITT FREISLEBEN &amp; CIA LTDA</t>
  </si>
  <si>
    <t>SILVIO RODRIGUES DA SILVA 25301434802</t>
  </si>
  <si>
    <t>BC AGRO COMERCIO DE SEMENTES EIRELI</t>
  </si>
  <si>
    <t>POLO DISTRIBUIDORA E PRESTADORA DE SERVICOS EIRELI</t>
  </si>
  <si>
    <t>A C DO A D RODRIGUES EIRELI</t>
  </si>
  <si>
    <t>VIPE COMERCIAL EIRELI</t>
  </si>
  <si>
    <t>COMERCIAL FREDSON LTDA</t>
  </si>
  <si>
    <t>I A DA SILVA FILHO</t>
  </si>
  <si>
    <t>ITEM 10</t>
  </si>
  <si>
    <t>PLÁSTICO BOLHA
Bobina 1,30 x 100 metros;
Bolhas com, no máximo, 1cm.</t>
  </si>
  <si>
    <t>GLOBO VISION COMERCIO E SERVICO LTDA</t>
  </si>
  <si>
    <t>LUIZ TADEO DAMASCHI</t>
  </si>
  <si>
    <t>COMERCIAL MILENIO EIRELI</t>
  </si>
  <si>
    <t>S. SCHNEIDER EIRELI</t>
  </si>
  <si>
    <t>ITEM 11</t>
  </si>
  <si>
    <t>PASTA TIPO MALOTE
Em material bagum
Cor: verde floresta
Dimensões: 40cm x 33cm x 1,5cm – largura x altura x profundidade, com variação permitida de ± 1,0 cm na altura ou largura.
Com zíper e dois cursores n.º 3, em cor preta, compatível com fechamento com lacre tipo espinha de peixe;
Com bolso em plástico cristal transparente, com abertura no lado direito;
Acabamento em Debrum na cor amarelo claro;
Estampa do brasão da república e demais inscrições na cor branca;
Inscrições: Justiça Eleitoral
Tribunal Regional Eleitoral da Bahia
Conforme modelo constante do anexo B. 2, também disponível na Seção de Gestão de Almoxarifado do TRE/BA
É obrigatório o fornecimento de prova para exame antes da confecção final</t>
  </si>
  <si>
    <t>MÁXIMO INDÚSTRIA E COMÉRCIO EIRELI</t>
  </si>
  <si>
    <t>ITEM 12</t>
  </si>
  <si>
    <t xml:space="preserve">FILME PARA EMBALAGEM, EM POLIETILENO, TIPO
STRETCH
Para aplicação manual;
Com estiramento não superior a 60%;
Para vedação de paletes e proteção do material;
Isento de partículas estranhas, ranhuras, furos e deformações;
Inodoro, incolor e com transparência;
Dimensões: Largura 500mm; Espessura 0,025mm (25 micra);
Peso aproximado de 4kg.
</t>
  </si>
  <si>
    <t>MAEPE MATERIAIS PARA EMPRESAS LTDA</t>
  </si>
  <si>
    <t>OLITHIER COMERCIO DE MATERIAIS E MERCADORIAS EIRELI</t>
  </si>
  <si>
    <t>PAPERPLAST</t>
  </si>
  <si>
    <t>ITEM 13</t>
  </si>
  <si>
    <t xml:space="preserve">CADEADO
Corpo em latão maciço;
Haste em aço cromado;
Cor amarelo bronze;
Largura: 50 mm;
Altura da haste: 30 mm;
Acondicionados individualmente em caixa de papelão
</t>
  </si>
  <si>
    <t>SOBRAL-CHAVES E CARIMBOS LTDA</t>
  </si>
  <si>
    <t>A MEGA LOJA</t>
  </si>
  <si>
    <t>FIXPAR</t>
  </si>
  <si>
    <t>LF MAQUINAS E FERRAMENTAS</t>
  </si>
  <si>
    <t>ITEM 14</t>
  </si>
  <si>
    <t xml:space="preserve">CADEADO
Corpo em latão maciço;
Haste em aço cromado;
Cor amarelo bronze;
Largura: 20 mm;
Altura da haste: 20 mm;
Acondicionados individualmente em caixa de papelão
</t>
  </si>
  <si>
    <t>M G ALVARENGA LTDA</t>
  </si>
  <si>
    <t>COELHO E SILVA COMERCIO E SERVICOS LTDA</t>
  </si>
  <si>
    <t>LUZ DIVINA MATERIAIS DE CONSTRUCAO LTDA</t>
  </si>
  <si>
    <t>M R DUARTE BOAZ</t>
  </si>
  <si>
    <t>COMERCIAL VANGUARDEIRA EIRELI</t>
  </si>
  <si>
    <t>FERGAVI COMERCIAL LTDA</t>
  </si>
  <si>
    <t>JEFERSON ALEXON SANTOS 02286036926</t>
  </si>
  <si>
    <t>SAVIO C. DA SILVA – COMERCIO</t>
  </si>
  <si>
    <t>ALL SALES COMERCIO E SERVICOS LTDA</t>
  </si>
  <si>
    <t>ITEM 15</t>
  </si>
  <si>
    <t>PALETE EM MADEIRA
PBR-I – padrão brasileiro;
Em madeira de reflorestamento;
Não reversível;
Dupla face;
Quatro entradas, que permitam movimentação com paleteira ou empilhadeira;
Dimensões: 1200 mm x 1000 mm x 148 mm (comprimento x largura x altura);
Capacidade de carga: Dinâmica – 1.600kg;
Estática – 3.200kg;
Espessura da madeira: 24 mm para a face superior, face inferior e tábua de ligação; 76 mm para o bloco;
Conforme modelo constante do anexo B.2</t>
  </si>
  <si>
    <t>GLOBAL VISION PACK BRASIL LTDA</t>
  </si>
  <si>
    <t>JULIO CESAR SANTOS DA COSTA</t>
  </si>
  <si>
    <t>AMERICANAS</t>
  </si>
  <si>
    <t>CASA COM PALLET</t>
  </si>
  <si>
    <t>ITEM 16</t>
  </si>
  <si>
    <t xml:space="preserve">PALETE EM PLÁSTICO
Na cor preta, atóxico, não corrosivo, lavável, reciclável e empilhável;
Alta durabilidade e alta densidade;
Capacidade mínima de carga: dinâmica de 3.000Kg; estática de 8.500Kg; no rack de 2.500Kg;
Medidas aproximadas: 1200mm x 1000mm de área superior e altura de 170mm;
Fendas nas quatro laterais para manuseio por meio de carro plataforma;
Com sapata e deslizante;
Para uso em estante porta palete.
</t>
  </si>
  <si>
    <t>FABRICIO RACHADEL COSTA</t>
  </si>
  <si>
    <t>ITEM 17</t>
  </si>
  <si>
    <t>CONE PARA SINALIZAÇÃO
Confeccionado em PVC flexível moldado (sem emendas)
Predominantemente na cor laranja,
Com, no mínimo, 700 mm de altura e largura da base de 360 mm,
Com duas faixas brancas
Refletividade conforme películas tipo II (NBR 14644 da ABNT).</t>
  </si>
  <si>
    <t>J. V. NOGUEIRA IMPORTACAO E EXPORTACAO LTDA</t>
  </si>
  <si>
    <t>META COMERCIO DE FERRAGENS E FERRAMENTAS EIRELI</t>
  </si>
  <si>
    <t>SIS COMERCIO DE MATERIAIS E EQUIPAMENTOS LTDA</t>
  </si>
  <si>
    <t>ITEM 18</t>
  </si>
  <si>
    <t xml:space="preserve">Envelope confeccionado em papel Kraft
Gramatura não inferior a 90g/m²
Medidas: 135x175mm, com variação de 10mm para mais ou para menos, com aba para fechamento
Revestido internamente com plástico bolha de, no mínimo, 25 micras
Fita dupla face na aba para fechamento
Emblema do TRE/BA
Modelo Anexo B. 3
É obrigatório o fornecimento de prova para exame antes da confecção final. 
</t>
  </si>
  <si>
    <t>PRISMA PAPELARIA EIRELI</t>
  </si>
  <si>
    <t>VHC PRINT SOLUCOES</t>
  </si>
  <si>
    <t>CAIXASNET</t>
  </si>
  <si>
    <t>CONTABILISTA</t>
  </si>
  <si>
    <t>EMBALAGEM FACIL</t>
  </si>
  <si>
    <t>ENVELOPE MANIA</t>
  </si>
  <si>
    <t>NET EMBALAGENS</t>
  </si>
  <si>
    <t>OCEANO B2B</t>
  </si>
  <si>
    <t>PAPELARIA QUEIROZ</t>
  </si>
  <si>
    <t>ITEM 19</t>
  </si>
  <si>
    <r>
      <rPr>
        <b/>
        <sz val="10"/>
        <color rgb="FF000000"/>
        <rFont val="Calibri"/>
        <family val="2"/>
        <charset val="1"/>
      </rPr>
      <t xml:space="preserve">FITA ADESIVA
</t>
    </r>
    <r>
      <rPr>
        <sz val="10"/>
        <color rgb="FF000000"/>
        <rFont val="Calibri"/>
        <family val="2"/>
        <charset val="1"/>
      </rPr>
      <t xml:space="preserve">Em polipropileno;
Dimensões: 48mm x 50m – largura x comprimento;
Incolor;
Com impressão ao longo do comprimento, com intervalos regulares de 5 cm, da inscrição ‘TRE-BA’
Tamanho aproximado da fonte: 1 cm (+ 0,2cm);
Acondicionadas em caixas;
É obrigatório o fornecimento de prova para exame antes da confecção final. 
</t>
    </r>
  </si>
  <si>
    <t>ITEM 20</t>
  </si>
  <si>
    <t>CAIXA ARQUIVO
Confeccionadas em papelão;
Parede simples;
Paredes externas na cor branca;
Baixa acidez (ph acima de 6);
Dimensões da caixa montada: (14,0 x 24,0 x 38,0) cm, correspondendo respectivamente a largura, altura e
profundidade (podendo variar em +/- 0,5cm);
Em fardos cintados com duas fitas;
Estritamente conforme modelo disponível na Seção de Gestão de Almoxarifado do TRE-BA;
É obrigatório o fornecimento de prova para exame antes da confecção final.</t>
  </si>
  <si>
    <t>ITEM 21</t>
  </si>
  <si>
    <t>ITEM 22</t>
  </si>
  <si>
    <t>ITEM 23</t>
  </si>
  <si>
    <t>ITEM 24</t>
  </si>
  <si>
    <t>ITEM 25</t>
  </si>
  <si>
    <t xml:space="preserve">EXEMPLO - Serviço de confecção de placa em alumínio composto, medindo (2,06 x 0,75)m, fundo branco, com gravação das letras em baixo 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Com 4 furações nas extremidades. Deverão ser fornecidos os 4 parafusos necessários para a fixação em parede de alvenaria. 
Ver desenho PLACA 01 - Será solicitada sempre que surgir uma nova necessidade, quando então será informado o nº da zona eleitoral e o nome dos municípios a serem incluídos na inscrição da placa.
</t>
  </si>
  <si>
    <t>NÃO ALTERE AS FÓRMULAS LTDA</t>
  </si>
  <si>
    <t>NÃO MUDE A ALTURA DAS LINHAS S.A</t>
  </si>
  <si>
    <t>NÃO MUDE AS CORES LTDA</t>
  </si>
  <si>
    <t>ITEM 26</t>
  </si>
  <si>
    <t>ITEM 27</t>
  </si>
  <si>
    <t>ITEM 28</t>
  </si>
  <si>
    <t>ITEM 29</t>
  </si>
  <si>
    <t>ITEM 30</t>
  </si>
  <si>
    <t>ITEM 31</t>
  </si>
  <si>
    <t>ITEM 32</t>
  </si>
  <si>
    <t>ITEM 33</t>
  </si>
  <si>
    <t>ITEM 34</t>
  </si>
  <si>
    <t>ITEM 35</t>
  </si>
  <si>
    <t>ITEM 36</t>
  </si>
  <si>
    <t>ITEM 37</t>
  </si>
  <si>
    <t>ITEM 38</t>
  </si>
  <si>
    <t>ITEM 39</t>
  </si>
  <si>
    <t>ITEM 40</t>
  </si>
  <si>
    <t>ITEM 41</t>
  </si>
  <si>
    <t>ITEM 42</t>
  </si>
  <si>
    <t>ITEM 43</t>
  </si>
  <si>
    <t>ITEM 44</t>
  </si>
  <si>
    <t>ITEM 45</t>
  </si>
  <si>
    <t>ITEM 46</t>
  </si>
  <si>
    <t>ITEM 47</t>
  </si>
  <si>
    <t>ITEM 48</t>
  </si>
  <si>
    <t>ITEM 49</t>
  </si>
  <si>
    <t>ITEM 50</t>
  </si>
  <si>
    <t>RESULTADO DA ESTIMATIVA</t>
  </si>
  <si>
    <t>Item</t>
  </si>
  <si>
    <t>Descrição</t>
  </si>
  <si>
    <t>Unidade de Fornecimento</t>
  </si>
  <si>
    <t>Quantidade</t>
  </si>
  <si>
    <t>Valor Unitário</t>
  </si>
  <si>
    <t>Valor Total</t>
  </si>
  <si>
    <t>VALOR TOTAL ESTIMADO</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</si>
</sst>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R$-416]\ #,##0.00;[Red]\-[$R$-416]\ #,##0.00"/>
    <numFmt numFmtId="165" formatCode="_-&quot;R$ &quot;* #,##0.00_-;&quot;-R$ &quot;* #,##0.00_-;_-&quot;R$ &quot;* \-??_-;_-@_-"/>
  </numFmts>
  <fonts count="17">
    <font>
      <sz val="10"/>
      <name val="Arial"/>
      <family val="2"/>
      <charset val="1"/>
    </font>
    <font>
      <sz val="10"/>
      <color rgb="FFFFFFFF"/>
      <name val="Mangal"/>
      <family val="2"/>
      <charset val="1"/>
    </font>
    <font>
      <sz val="10"/>
      <color rgb="FF000000"/>
      <name val="Mangal"/>
      <family val="2"/>
      <charset val="1"/>
    </font>
    <font>
      <sz val="10"/>
      <color rgb="FFCC0000"/>
      <name val="Mangal"/>
      <family val="2"/>
      <charset val="1"/>
    </font>
    <font>
      <sz val="10"/>
      <color rgb="FF808080"/>
      <name val="Mangal"/>
      <family val="2"/>
      <charset val="1"/>
    </font>
    <font>
      <sz val="10"/>
      <color rgb="FF006600"/>
      <name val="Mangal"/>
      <family val="2"/>
      <charset val="1"/>
    </font>
    <font>
      <sz val="10"/>
      <color rgb="FF996600"/>
      <name val="Mangal"/>
      <family val="2"/>
      <charset val="1"/>
    </font>
    <font>
      <sz val="10"/>
      <color rgb="FF333333"/>
      <name val="Mangal"/>
      <family val="2"/>
      <charset val="1"/>
    </font>
    <font>
      <u/>
      <sz val="10"/>
      <name val="Mangal"/>
      <family val="2"/>
      <charset val="1"/>
    </font>
    <font>
      <sz val="10"/>
      <name val="Mangal"/>
      <family val="2"/>
      <charset val="1"/>
    </font>
    <font>
      <sz val="10"/>
      <name val="Calibri"/>
      <family val="2"/>
      <charset val="1"/>
    </font>
    <font>
      <b/>
      <sz val="12"/>
      <name val="Calibri"/>
      <family val="2"/>
      <charset val="1"/>
    </font>
    <font>
      <b/>
      <sz val="10"/>
      <name val="Calibri"/>
      <family val="2"/>
      <charset val="1"/>
    </font>
    <font>
      <b/>
      <sz val="10"/>
      <color rgb="FF000000"/>
      <name val="Calibri"/>
      <family val="2"/>
      <charset val="1"/>
    </font>
    <font>
      <sz val="10"/>
      <color rgb="FF000000"/>
      <name val="Calibri"/>
      <family val="2"/>
      <charset val="1"/>
    </font>
    <font>
      <b/>
      <sz val="9"/>
      <name val="Calibri"/>
      <family val="2"/>
      <charset val="1"/>
    </font>
    <font>
      <sz val="10"/>
      <name val="Arial"/>
      <charset val="1"/>
    </font>
  </fonts>
  <fills count="11">
    <fill>
      <patternFill patternType="none"/>
    </fill>
    <fill>
      <patternFill patternType="gray125"/>
    </fill>
    <fill>
      <patternFill patternType="solid">
        <fgColor rgb="FF000000"/>
        <bgColor rgb="FF003300"/>
      </patternFill>
    </fill>
    <fill>
      <patternFill patternType="solid">
        <fgColor rgb="FF808080"/>
        <bgColor rgb="FF969696"/>
      </patternFill>
    </fill>
    <fill>
      <patternFill patternType="solid">
        <fgColor rgb="FFDDDDDD"/>
        <bgColor rgb="FFDDD9C3"/>
      </patternFill>
    </fill>
    <fill>
      <patternFill patternType="solid">
        <fgColor rgb="FFFFCCCC"/>
        <bgColor rgb="FFDDD9C3"/>
      </patternFill>
    </fill>
    <fill>
      <patternFill patternType="solid">
        <fgColor rgb="FFCC0000"/>
        <bgColor rgb="FF800000"/>
      </patternFill>
    </fill>
    <fill>
      <patternFill patternType="solid">
        <fgColor rgb="FFCCFFCC"/>
        <bgColor rgb="FFCCFFFF"/>
      </patternFill>
    </fill>
    <fill>
      <patternFill patternType="solid">
        <fgColor rgb="FFFFFFCC"/>
        <bgColor rgb="FFFFFFFF"/>
      </patternFill>
    </fill>
    <fill>
      <patternFill patternType="solid">
        <fgColor rgb="FFC4BD97"/>
        <bgColor rgb="FFDDD9C3"/>
      </patternFill>
    </fill>
    <fill>
      <patternFill patternType="solid">
        <fgColor rgb="FFDDD9C3"/>
        <bgColor rgb="FFDDDDDD"/>
      </patternFill>
    </fill>
  </fills>
  <borders count="8">
    <border>
      <left/>
      <right/>
      <top/>
      <bottom/>
      <diagonal/>
    </border>
    <border>
      <left style="thin">
        <color rgb="FF808080"/>
      </left>
      <right style="thin">
        <color rgb="FF808080"/>
      </right>
      <top style="thin">
        <color rgb="FF808080"/>
      </top>
      <bottom style="thin">
        <color rgb="FF808080"/>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style="hair">
        <color auto="1"/>
      </top>
      <bottom/>
      <diagonal/>
    </border>
    <border>
      <left/>
      <right/>
      <top style="hair">
        <color auto="1"/>
      </top>
      <bottom style="hair">
        <color auto="1"/>
      </bottom>
      <diagonal/>
    </border>
    <border>
      <left style="hair">
        <color auto="1"/>
      </left>
      <right style="hair">
        <color auto="1"/>
      </right>
      <top style="hair">
        <color auto="1"/>
      </top>
      <bottom/>
      <diagonal/>
    </border>
    <border>
      <left/>
      <right/>
      <top/>
      <bottom style="hair">
        <color auto="1"/>
      </bottom>
      <diagonal/>
    </border>
  </borders>
  <cellStyleXfs count="21">
    <xf numFmtId="0" fontId="0" fillId="0" borderId="0"/>
    <xf numFmtId="165" fontId="16" fillId="0" borderId="0" applyBorder="0" applyProtection="0"/>
    <xf numFmtId="0" fontId="1" fillId="2" borderId="0" applyBorder="0" applyProtection="0"/>
    <xf numFmtId="0" fontId="1" fillId="3" borderId="0" applyBorder="0" applyProtection="0"/>
    <xf numFmtId="0" fontId="2" fillId="4" borderId="0" applyBorder="0" applyProtection="0"/>
    <xf numFmtId="0" fontId="2" fillId="0" borderId="0" applyBorder="0" applyProtection="0"/>
    <xf numFmtId="0" fontId="3" fillId="5" borderId="0" applyBorder="0" applyProtection="0"/>
    <xf numFmtId="0" fontId="1" fillId="6" borderId="0" applyBorder="0" applyProtection="0"/>
    <xf numFmtId="0" fontId="4" fillId="0" borderId="0" applyBorder="0" applyProtection="0"/>
    <xf numFmtId="0" fontId="5" fillId="7" borderId="0" applyBorder="0" applyProtection="0"/>
    <xf numFmtId="0" fontId="2" fillId="0" borderId="0" applyBorder="0" applyProtection="0"/>
    <xf numFmtId="0" fontId="2" fillId="0" borderId="0" applyBorder="0" applyProtection="0"/>
    <xf numFmtId="0" fontId="2" fillId="0" borderId="0" applyBorder="0" applyProtection="0"/>
    <xf numFmtId="0" fontId="6" fillId="8" borderId="0" applyBorder="0" applyProtection="0"/>
    <xf numFmtId="0" fontId="7" fillId="8" borderId="1" applyProtection="0"/>
    <xf numFmtId="0" fontId="8" fillId="0" borderId="0" applyBorder="0" applyProtection="0"/>
    <xf numFmtId="164" fontId="8" fillId="0" borderId="0" applyBorder="0" applyProtection="0"/>
    <xf numFmtId="0" fontId="9" fillId="0" borderId="0" applyBorder="0" applyProtection="0"/>
    <xf numFmtId="0" fontId="9" fillId="0" borderId="0" applyBorder="0" applyProtection="0"/>
    <xf numFmtId="0" fontId="9" fillId="0" borderId="0" applyBorder="0" applyProtection="0">
      <alignment horizontal="center" textRotation="90"/>
    </xf>
    <xf numFmtId="0" fontId="3" fillId="0" borderId="0" applyBorder="0" applyProtection="0"/>
  </cellStyleXfs>
  <cellXfs count="60">
    <xf numFmtId="0" fontId="0" fillId="0" borderId="0" xfId="0"/>
    <xf numFmtId="0" fontId="10" fillId="0" borderId="0" xfId="0" applyFont="1" applyProtection="1">
      <protection locked="0"/>
    </xf>
    <xf numFmtId="0" fontId="12" fillId="10" borderId="3" xfId="0" applyFont="1" applyFill="1" applyBorder="1" applyAlignment="1" applyProtection="1">
      <alignment horizontal="center" vertical="center"/>
    </xf>
    <xf numFmtId="0" fontId="12" fillId="10" borderId="3" xfId="0" applyFont="1" applyFill="1" applyBorder="1" applyAlignment="1" applyProtection="1">
      <alignment horizontal="center" vertical="center" wrapText="1"/>
    </xf>
    <xf numFmtId="0" fontId="12" fillId="10" borderId="2" xfId="0" applyFont="1" applyFill="1" applyBorder="1" applyAlignment="1" applyProtection="1">
      <alignment horizontal="center" vertical="center"/>
    </xf>
    <xf numFmtId="0" fontId="12" fillId="10" borderId="2" xfId="0" applyFont="1" applyFill="1" applyBorder="1" applyAlignment="1" applyProtection="1">
      <alignment horizontal="center" vertical="center" wrapText="1"/>
    </xf>
    <xf numFmtId="0" fontId="15" fillId="0" borderId="2" xfId="0" applyFont="1" applyBorder="1" applyProtection="1">
      <protection locked="0"/>
    </xf>
    <xf numFmtId="164" fontId="13" fillId="0" borderId="2" xfId="0" applyNumberFormat="1" applyFont="1" applyBorder="1" applyAlignment="1" applyProtection="1">
      <alignment horizontal="center" shrinkToFit="1"/>
      <protection locked="0"/>
    </xf>
    <xf numFmtId="164" fontId="13" fillId="10" borderId="2" xfId="0" applyNumberFormat="1" applyFont="1" applyFill="1" applyBorder="1" applyAlignment="1" applyProtection="1">
      <alignment horizontal="center" shrinkToFit="1"/>
    </xf>
    <xf numFmtId="0" fontId="12" fillId="0" borderId="4" xfId="0" applyFont="1" applyBorder="1" applyAlignment="1" applyProtection="1">
      <alignment horizontal="center" vertical="center"/>
      <protection locked="0"/>
    </xf>
    <xf numFmtId="0" fontId="14" fillId="0" borderId="4" xfId="0" applyFont="1" applyBorder="1" applyAlignment="1" applyProtection="1">
      <alignment horizontal="left" vertical="center" wrapText="1"/>
      <protection locked="0"/>
    </xf>
    <xf numFmtId="0" fontId="14" fillId="0" borderId="5" xfId="0" applyFont="1" applyBorder="1" applyAlignment="1" applyProtection="1">
      <alignment horizontal="left" vertical="center" wrapText="1"/>
      <protection locked="0"/>
    </xf>
    <xf numFmtId="0" fontId="14" fillId="0" borderId="5" xfId="0" applyFont="1" applyBorder="1" applyAlignment="1" applyProtection="1">
      <alignment horizontal="center" vertical="center" wrapText="1"/>
      <protection locked="0"/>
    </xf>
    <xf numFmtId="0" fontId="14" fillId="0" borderId="4" xfId="0" applyFont="1" applyBorder="1" applyAlignment="1" applyProtection="1">
      <alignment horizontal="center" vertical="center" wrapText="1"/>
      <protection locked="0"/>
    </xf>
    <xf numFmtId="0" fontId="15" fillId="0" borderId="4" xfId="0" applyFont="1" applyBorder="1" applyProtection="1">
      <protection locked="0"/>
    </xf>
    <xf numFmtId="164" fontId="13" fillId="0" borderId="0" xfId="0" applyNumberFormat="1" applyFont="1" applyBorder="1" applyAlignment="1" applyProtection="1">
      <alignment horizontal="center"/>
      <protection locked="0"/>
    </xf>
    <xf numFmtId="0" fontId="13" fillId="10" borderId="2" xfId="0" applyFont="1" applyFill="1" applyBorder="1" applyAlignment="1" applyProtection="1">
      <alignment horizontal="center" vertical="center"/>
    </xf>
    <xf numFmtId="0" fontId="13" fillId="10" borderId="2" xfId="0" applyFont="1" applyFill="1" applyBorder="1" applyAlignment="1" applyProtection="1">
      <alignment horizontal="center" vertical="center" wrapText="1"/>
    </xf>
    <xf numFmtId="164" fontId="10" fillId="0" borderId="0" xfId="0" applyNumberFormat="1" applyFont="1" applyBorder="1" applyAlignment="1" applyProtection="1">
      <alignment horizontal="left"/>
      <protection locked="0"/>
    </xf>
    <xf numFmtId="0" fontId="10" fillId="10" borderId="2" xfId="0" applyFont="1" applyFill="1" applyBorder="1" applyAlignment="1" applyProtection="1">
      <alignment horizontal="center"/>
    </xf>
    <xf numFmtId="10" fontId="10" fillId="10" borderId="6" xfId="0" applyNumberFormat="1" applyFont="1" applyFill="1" applyBorder="1" applyAlignment="1" applyProtection="1">
      <alignment horizontal="center"/>
    </xf>
    <xf numFmtId="164" fontId="14" fillId="10" borderId="4" xfId="0" applyNumberFormat="1" applyFont="1" applyFill="1" applyBorder="1" applyAlignment="1" applyProtection="1">
      <alignment horizontal="center" shrinkToFit="1"/>
    </xf>
    <xf numFmtId="164" fontId="14" fillId="10" borderId="2" xfId="0" applyNumberFormat="1" applyFont="1" applyFill="1" applyBorder="1" applyAlignment="1" applyProtection="1">
      <alignment horizontal="center" shrinkToFit="1"/>
    </xf>
    <xf numFmtId="164" fontId="12" fillId="10" borderId="2" xfId="0" applyNumberFormat="1" applyFont="1" applyFill="1" applyBorder="1" applyAlignment="1" applyProtection="1">
      <alignment horizontal="left"/>
    </xf>
    <xf numFmtId="164" fontId="10" fillId="10" borderId="2" xfId="0" applyNumberFormat="1" applyFont="1" applyFill="1" applyBorder="1" applyAlignment="1" applyProtection="1">
      <alignment horizontal="right" shrinkToFit="1"/>
    </xf>
    <xf numFmtId="0" fontId="12" fillId="0" borderId="0" xfId="0" applyFont="1" applyBorder="1" applyAlignment="1" applyProtection="1">
      <protection locked="0"/>
    </xf>
    <xf numFmtId="164" fontId="10" fillId="0" borderId="4" xfId="0" applyNumberFormat="1" applyFont="1" applyBorder="1" applyAlignment="1" applyProtection="1">
      <alignment horizontal="left"/>
      <protection locked="0"/>
    </xf>
    <xf numFmtId="164" fontId="10" fillId="0" borderId="0" xfId="0" applyNumberFormat="1" applyFont="1" applyBorder="1" applyAlignment="1" applyProtection="1">
      <alignment horizontal="right"/>
      <protection locked="0"/>
    </xf>
    <xf numFmtId="164" fontId="10" fillId="0" borderId="0" xfId="0" applyNumberFormat="1" applyFont="1" applyBorder="1" applyAlignment="1" applyProtection="1">
      <protection locked="0"/>
    </xf>
    <xf numFmtId="0" fontId="12" fillId="0" borderId="0" xfId="0" applyFont="1" applyBorder="1" applyAlignment="1" applyProtection="1">
      <alignment horizontal="center"/>
      <protection locked="0"/>
    </xf>
    <xf numFmtId="164" fontId="14" fillId="0" borderId="0" xfId="0" applyNumberFormat="1" applyFont="1" applyBorder="1" applyAlignment="1" applyProtection="1">
      <protection locked="0"/>
    </xf>
    <xf numFmtId="164" fontId="13" fillId="10" borderId="2" xfId="0" applyNumberFormat="1" applyFont="1" applyFill="1" applyBorder="1" applyAlignment="1" applyProtection="1">
      <alignment horizontal="center" vertical="center"/>
    </xf>
    <xf numFmtId="164" fontId="14" fillId="10" borderId="2" xfId="0" applyNumberFormat="1" applyFont="1" applyFill="1" applyBorder="1" applyAlignment="1" applyProtection="1">
      <alignment horizontal="right" shrinkToFit="1"/>
    </xf>
    <xf numFmtId="164" fontId="13" fillId="0" borderId="0" xfId="0" applyNumberFormat="1" applyFont="1" applyBorder="1" applyAlignment="1" applyProtection="1">
      <protection locked="0"/>
    </xf>
    <xf numFmtId="0" fontId="10" fillId="0" borderId="0" xfId="0" applyFont="1" applyAlignment="1">
      <alignment wrapText="1"/>
    </xf>
    <xf numFmtId="0" fontId="10" fillId="0" borderId="0" xfId="0" applyFont="1" applyAlignment="1"/>
    <xf numFmtId="0" fontId="11" fillId="0" borderId="0" xfId="0" applyFont="1" applyBorder="1" applyAlignment="1">
      <alignment horizontal="center" wrapText="1"/>
    </xf>
    <xf numFmtId="0" fontId="11" fillId="0" borderId="7" xfId="0" applyFont="1" applyBorder="1" applyAlignment="1">
      <alignment horizontal="center" wrapText="1"/>
    </xf>
    <xf numFmtId="0" fontId="11" fillId="9" borderId="2" xfId="0" applyFont="1" applyFill="1" applyBorder="1" applyAlignment="1">
      <alignment horizontal="center" wrapText="1"/>
    </xf>
    <xf numFmtId="0" fontId="12" fillId="10" borderId="2" xfId="0" applyFont="1" applyFill="1" applyBorder="1" applyAlignment="1">
      <alignment horizontal="center" vertical="center" wrapText="1"/>
    </xf>
    <xf numFmtId="0" fontId="10" fillId="10" borderId="2" xfId="0" applyFont="1" applyFill="1" applyBorder="1" applyAlignment="1">
      <alignment horizontal="center" vertical="center" wrapText="1"/>
    </xf>
    <xf numFmtId="0" fontId="10" fillId="10" borderId="2" xfId="0" applyFont="1" applyFill="1" applyBorder="1" applyAlignment="1">
      <alignment vertical="center" wrapText="1"/>
    </xf>
    <xf numFmtId="165" fontId="10" fillId="10" borderId="2" xfId="1" applyFont="1" applyFill="1" applyBorder="1" applyAlignment="1" applyProtection="1">
      <alignment vertical="center" wrapText="1"/>
    </xf>
    <xf numFmtId="0" fontId="10" fillId="0" borderId="0" xfId="0" applyFont="1" applyAlignment="1">
      <alignment vertical="center"/>
    </xf>
    <xf numFmtId="0" fontId="11" fillId="0" borderId="4" xfId="0" applyFont="1" applyBorder="1" applyAlignment="1">
      <alignment wrapText="1"/>
    </xf>
    <xf numFmtId="165" fontId="12" fillId="10" borderId="2" xfId="1" applyFont="1" applyFill="1" applyBorder="1" applyAlignment="1" applyProtection="1">
      <alignment vertical="center" wrapText="1"/>
    </xf>
    <xf numFmtId="165" fontId="11" fillId="9" borderId="2" xfId="0" applyNumberFormat="1" applyFont="1" applyFill="1" applyBorder="1" applyAlignment="1">
      <alignment wrapText="1"/>
    </xf>
    <xf numFmtId="0" fontId="10" fillId="10" borderId="6" xfId="0" applyFont="1" applyFill="1" applyBorder="1" applyAlignment="1" applyProtection="1">
      <alignment wrapText="1"/>
    </xf>
    <xf numFmtId="0" fontId="10" fillId="10" borderId="2" xfId="0" applyFont="1" applyFill="1" applyBorder="1" applyAlignment="1" applyProtection="1">
      <alignment wrapText="1"/>
    </xf>
    <xf numFmtId="0" fontId="12" fillId="10" borderId="2" xfId="0" applyFont="1" applyFill="1" applyBorder="1" applyAlignment="1" applyProtection="1">
      <alignment horizontal="center" vertical="center"/>
    </xf>
    <xf numFmtId="0" fontId="12" fillId="0" borderId="0" xfId="0" applyFont="1" applyBorder="1" applyAlignment="1" applyProtection="1">
      <alignment horizontal="center"/>
      <protection locked="0"/>
    </xf>
    <xf numFmtId="0" fontId="11" fillId="9" borderId="2" xfId="0" applyFont="1" applyFill="1" applyBorder="1" applyAlignment="1" applyProtection="1">
      <alignment horizontal="center"/>
    </xf>
    <xf numFmtId="0" fontId="12" fillId="0" borderId="3" xfId="0" applyFont="1" applyBorder="1" applyAlignment="1" applyProtection="1">
      <alignment horizontal="center" vertical="center"/>
      <protection locked="0"/>
    </xf>
    <xf numFmtId="0" fontId="13" fillId="0" borderId="2" xfId="0" applyFont="1" applyBorder="1" applyAlignment="1" applyProtection="1">
      <alignment vertical="top" wrapText="1"/>
      <protection locked="0"/>
    </xf>
    <xf numFmtId="0" fontId="14" fillId="0" borderId="2" xfId="0" applyFont="1" applyBorder="1" applyAlignment="1" applyProtection="1">
      <alignment horizontal="center" vertical="center" wrapText="1"/>
      <protection locked="0"/>
    </xf>
    <xf numFmtId="0" fontId="14" fillId="0" borderId="2" xfId="0" applyFont="1" applyBorder="1" applyAlignment="1" applyProtection="1">
      <alignment horizontal="center" vertical="center" shrinkToFit="1"/>
      <protection locked="0"/>
    </xf>
    <xf numFmtId="164" fontId="13" fillId="10" borderId="2" xfId="0" applyNumberFormat="1" applyFont="1" applyFill="1" applyBorder="1" applyAlignment="1" applyProtection="1">
      <alignment horizontal="center" vertical="center" shrinkToFit="1"/>
    </xf>
    <xf numFmtId="0" fontId="14" fillId="0" borderId="2" xfId="0" applyFont="1" applyBorder="1" applyAlignment="1" applyProtection="1">
      <alignment vertical="top" wrapText="1"/>
      <protection locked="0"/>
    </xf>
    <xf numFmtId="0" fontId="11" fillId="0" borderId="0" xfId="0" applyFont="1" applyBorder="1" applyAlignment="1">
      <alignment horizontal="center" vertical="center" wrapText="1"/>
    </xf>
    <xf numFmtId="0" fontId="11" fillId="9" borderId="2" xfId="0" applyFont="1" applyFill="1" applyBorder="1" applyAlignment="1">
      <alignment horizontal="center" wrapText="1"/>
    </xf>
  </cellXfs>
  <cellStyles count="21">
    <cellStyle name="Accent 1 1" xfId="2"/>
    <cellStyle name="Accent 2 1" xfId="3"/>
    <cellStyle name="Accent 3 1" xfId="4"/>
    <cellStyle name="Accent 4" xfId="5"/>
    <cellStyle name="Bad 1" xfId="6"/>
    <cellStyle name="Error 1" xfId="7"/>
    <cellStyle name="Footnote 1" xfId="8"/>
    <cellStyle name="Good 1" xfId="9"/>
    <cellStyle name="Heading 1 1" xfId="10"/>
    <cellStyle name="Heading 2 1" xfId="11"/>
    <cellStyle name="Heading 3" xfId="12"/>
    <cellStyle name="Moeda" xfId="1" builtinId="4"/>
    <cellStyle name="Neutral 1" xfId="13"/>
    <cellStyle name="Normal" xfId="0" builtinId="0"/>
    <cellStyle name="Note 1" xfId="14"/>
    <cellStyle name="Resultado" xfId="15"/>
    <cellStyle name="Resultado2" xfId="16"/>
    <cellStyle name="Status 1" xfId="17"/>
    <cellStyle name="Text 1" xfId="18"/>
    <cellStyle name="Título1" xfId="19"/>
    <cellStyle name="Warning 1" xfId="20"/>
  </cellStyles>
  <dxfs count="0"/>
  <tableStyles count="0" defaultTableStyle="TableStyleMedium2" defaultPivotStyle="PivotStyleLight16"/>
  <colors>
    <indexedColors>
      <rgbColor rgb="FF000000"/>
      <rgbColor rgb="FFFFFFFF"/>
      <rgbColor rgb="FFCC0000"/>
      <rgbColor rgb="FF00FF00"/>
      <rgbColor rgb="FF0000FF"/>
      <rgbColor rgb="FFFFFF00"/>
      <rgbColor rgb="FFFF00FF"/>
      <rgbColor rgb="FF00FFFF"/>
      <rgbColor rgb="FF800000"/>
      <rgbColor rgb="FF006600"/>
      <rgbColor rgb="FF000080"/>
      <rgbColor rgb="FF996600"/>
      <rgbColor rgb="FF800080"/>
      <rgbColor rgb="FF008080"/>
      <rgbColor rgb="FFC4BD97"/>
      <rgbColor rgb="FF808080"/>
      <rgbColor rgb="FF9999FF"/>
      <rgbColor rgb="FF993366"/>
      <rgbColor rgb="FFFFFFCC"/>
      <rgbColor rgb="FFDDD9C3"/>
      <rgbColor rgb="FF660066"/>
      <rgbColor rgb="FFFF8080"/>
      <rgbColor rgb="FF0066CC"/>
      <rgbColor rgb="FFDDDDDD"/>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3000375</xdr:colOff>
      <xdr:row>0</xdr:row>
      <xdr:rowOff>1</xdr:rowOff>
    </xdr:from>
    <xdr:to>
      <xdr:col>2</xdr:col>
      <xdr:colOff>104775</xdr:colOff>
      <xdr:row>6</xdr:row>
      <xdr:rowOff>129925</xdr:rowOff>
    </xdr:to>
    <xdr:pic>
      <xdr:nvPicPr>
        <xdr:cNvPr id="3" name="Imagem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609975" y="1"/>
          <a:ext cx="2895600" cy="1101474"/>
        </a:xfrm>
        <a:prstGeom prst="rect">
          <a:avLst/>
        </a:prstGeom>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H7" sqref="H7"/>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51" t="s">
        <v>0</v>
      </c>
      <c r="B1" s="51"/>
      <c r="C1" s="51"/>
      <c r="D1" s="51"/>
      <c r="E1" s="51"/>
      <c r="F1" s="51"/>
      <c r="G1" s="51"/>
      <c r="H1" s="51"/>
      <c r="I1" s="51"/>
    </row>
    <row r="2" spans="1:9" ht="25.5">
      <c r="A2" s="52" t="s">
        <v>1</v>
      </c>
      <c r="B2" s="2" t="s">
        <v>2</v>
      </c>
      <c r="C2" s="2" t="s">
        <v>3</v>
      </c>
      <c r="D2" s="2" t="s">
        <v>4</v>
      </c>
      <c r="E2" s="3" t="s">
        <v>5</v>
      </c>
      <c r="F2" s="3" t="s">
        <v>6</v>
      </c>
      <c r="G2" s="2" t="s">
        <v>7</v>
      </c>
      <c r="H2" s="4" t="s">
        <v>8</v>
      </c>
      <c r="I2" s="5" t="s">
        <v>9</v>
      </c>
    </row>
    <row r="3" spans="1:9" ht="12.75" customHeight="1">
      <c r="A3" s="52"/>
      <c r="B3" s="53" t="s">
        <v>10</v>
      </c>
      <c r="C3" s="54" t="s">
        <v>11</v>
      </c>
      <c r="D3" s="55">
        <f>30000*0.25</f>
        <v>7500</v>
      </c>
      <c r="E3" s="56">
        <f>IF(C20&lt;=25%,D20,MIN(E20:F20))</f>
        <v>2.86</v>
      </c>
      <c r="F3" s="56">
        <f>MIN(H3:H17)</f>
        <v>2.5155504500000001</v>
      </c>
      <c r="G3" s="6" t="s">
        <v>12</v>
      </c>
      <c r="H3" s="7">
        <f>2.35*1.070447</f>
        <v>2.5155504500000001</v>
      </c>
      <c r="I3" s="8">
        <f t="shared" ref="I3:I17" si="0">IF(H3="","",(IF($C$20&lt;25%,"N/A",IF(H3&lt;=($D$20+$A$20),H3,"Descartado"))))</f>
        <v>2.5155504500000001</v>
      </c>
    </row>
    <row r="4" spans="1:9">
      <c r="A4" s="52"/>
      <c r="B4" s="53"/>
      <c r="C4" s="54"/>
      <c r="D4" s="55"/>
      <c r="E4" s="56"/>
      <c r="F4" s="56"/>
      <c r="G4" s="6" t="s">
        <v>13</v>
      </c>
      <c r="H4" s="7">
        <f>2.78*1.070447</f>
        <v>2.9758426599999996</v>
      </c>
      <c r="I4" s="8">
        <f t="shared" si="0"/>
        <v>2.9758426599999996</v>
      </c>
    </row>
    <row r="5" spans="1:9">
      <c r="A5" s="52"/>
      <c r="B5" s="53"/>
      <c r="C5" s="54"/>
      <c r="D5" s="55"/>
      <c r="E5" s="56"/>
      <c r="F5" s="56"/>
      <c r="G5" s="6" t="s">
        <v>14</v>
      </c>
      <c r="H5" s="7">
        <f>2.89*1.070447</f>
        <v>3.0935918299999998</v>
      </c>
      <c r="I5" s="8">
        <f t="shared" si="0"/>
        <v>3.0935918299999998</v>
      </c>
    </row>
    <row r="6" spans="1:9">
      <c r="A6" s="52"/>
      <c r="B6" s="53"/>
      <c r="C6" s="54"/>
      <c r="D6" s="55"/>
      <c r="E6" s="56"/>
      <c r="F6" s="56"/>
      <c r="G6" s="6" t="s">
        <v>15</v>
      </c>
      <c r="H6" s="7">
        <f>8.9*1.070447</f>
        <v>9.5269782999999997</v>
      </c>
      <c r="I6" s="8" t="str">
        <f t="shared" si="0"/>
        <v>Descartado</v>
      </c>
    </row>
    <row r="7" spans="1:9">
      <c r="A7" s="52"/>
      <c r="B7" s="53"/>
      <c r="C7" s="54"/>
      <c r="D7" s="55"/>
      <c r="E7" s="56"/>
      <c r="F7" s="56"/>
      <c r="G7" s="6"/>
      <c r="H7" s="7"/>
      <c r="I7" s="8" t="str">
        <f t="shared" si="0"/>
        <v/>
      </c>
    </row>
    <row r="8" spans="1:9">
      <c r="A8" s="52"/>
      <c r="B8" s="53"/>
      <c r="C8" s="54"/>
      <c r="D8" s="55"/>
      <c r="E8" s="56"/>
      <c r="F8" s="56"/>
      <c r="G8" s="6"/>
      <c r="H8" s="7"/>
      <c r="I8" s="8" t="str">
        <f t="shared" si="0"/>
        <v/>
      </c>
    </row>
    <row r="9" spans="1:9">
      <c r="A9" s="52"/>
      <c r="B9" s="53"/>
      <c r="C9" s="54"/>
      <c r="D9" s="55"/>
      <c r="E9" s="56"/>
      <c r="F9" s="56"/>
      <c r="G9" s="6"/>
      <c r="H9" s="7"/>
      <c r="I9" s="8" t="str">
        <f t="shared" si="0"/>
        <v/>
      </c>
    </row>
    <row r="10" spans="1:9">
      <c r="A10" s="52"/>
      <c r="B10" s="53"/>
      <c r="C10" s="54"/>
      <c r="D10" s="55"/>
      <c r="E10" s="56"/>
      <c r="F10" s="56"/>
      <c r="G10" s="6"/>
      <c r="H10" s="7"/>
      <c r="I10" s="8" t="str">
        <f t="shared" si="0"/>
        <v/>
      </c>
    </row>
    <row r="11" spans="1:9">
      <c r="A11" s="52"/>
      <c r="B11" s="53"/>
      <c r="C11" s="54"/>
      <c r="D11" s="55"/>
      <c r="E11" s="56"/>
      <c r="F11" s="56"/>
      <c r="G11" s="6"/>
      <c r="H11" s="7"/>
      <c r="I11" s="8" t="str">
        <f t="shared" si="0"/>
        <v/>
      </c>
    </row>
    <row r="12" spans="1:9">
      <c r="A12" s="52"/>
      <c r="B12" s="53"/>
      <c r="C12" s="54"/>
      <c r="D12" s="55"/>
      <c r="E12" s="56"/>
      <c r="F12" s="56"/>
      <c r="G12" s="6"/>
      <c r="H12" s="7"/>
      <c r="I12" s="8" t="str">
        <f t="shared" si="0"/>
        <v/>
      </c>
    </row>
    <row r="13" spans="1:9">
      <c r="A13" s="52"/>
      <c r="B13" s="53"/>
      <c r="C13" s="54"/>
      <c r="D13" s="55"/>
      <c r="E13" s="56"/>
      <c r="F13" s="56"/>
      <c r="G13" s="6"/>
      <c r="H13" s="7"/>
      <c r="I13" s="8" t="str">
        <f t="shared" si="0"/>
        <v/>
      </c>
    </row>
    <row r="14" spans="1:9">
      <c r="A14" s="52"/>
      <c r="B14" s="53"/>
      <c r="C14" s="54"/>
      <c r="D14" s="55"/>
      <c r="E14" s="56"/>
      <c r="F14" s="56"/>
      <c r="G14" s="6"/>
      <c r="H14" s="7"/>
      <c r="I14" s="8" t="str">
        <f t="shared" si="0"/>
        <v/>
      </c>
    </row>
    <row r="15" spans="1:9">
      <c r="A15" s="52"/>
      <c r="B15" s="53"/>
      <c r="C15" s="54"/>
      <c r="D15" s="55"/>
      <c r="E15" s="56"/>
      <c r="F15" s="56"/>
      <c r="G15" s="6"/>
      <c r="H15" s="7"/>
      <c r="I15" s="8" t="str">
        <f t="shared" si="0"/>
        <v/>
      </c>
    </row>
    <row r="16" spans="1:9">
      <c r="A16" s="52"/>
      <c r="B16" s="53"/>
      <c r="C16" s="54"/>
      <c r="D16" s="55"/>
      <c r="E16" s="56"/>
      <c r="F16" s="56"/>
      <c r="G16" s="6"/>
      <c r="H16" s="7"/>
      <c r="I16" s="8" t="str">
        <f t="shared" si="0"/>
        <v/>
      </c>
    </row>
    <row r="17" spans="1:11">
      <c r="A17" s="52"/>
      <c r="B17" s="53"/>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16</v>
      </c>
      <c r="B19" s="5" t="s">
        <v>17</v>
      </c>
      <c r="C19" s="4" t="s">
        <v>18</v>
      </c>
      <c r="D19" s="16" t="s">
        <v>19</v>
      </c>
      <c r="E19" s="17" t="s">
        <v>20</v>
      </c>
      <c r="F19" s="16" t="s">
        <v>21</v>
      </c>
      <c r="G19" s="49" t="s">
        <v>22</v>
      </c>
      <c r="H19" s="49"/>
      <c r="I19" s="18"/>
    </row>
    <row r="20" spans="1:11">
      <c r="A20" s="19">
        <f>IF(B20&lt;2,"N/A",(STDEV(H3:H17)))</f>
        <v>3.3419782784605725</v>
      </c>
      <c r="B20" s="19">
        <f>COUNT(H3:H17)</f>
        <v>4</v>
      </c>
      <c r="C20" s="20">
        <f>IF(B20&lt;2,"N/A",(A20/D20))</f>
        <v>0.73774354932904462</v>
      </c>
      <c r="D20" s="21">
        <f>ROUND(AVERAGE(H3:H17),2)</f>
        <v>4.53</v>
      </c>
      <c r="E20" s="22">
        <f>IFERROR(ROUND(IF(B20&lt;2,"N/A",(IF(C20&lt;=25%,"N/A",AVERAGE(I3:I17)))),2),"N/A")</f>
        <v>2.86</v>
      </c>
      <c r="F20" s="22">
        <f>ROUND(MEDIAN(H3:H17),2)</f>
        <v>3.03</v>
      </c>
      <c r="G20" s="23" t="str">
        <f>INDEX(G3:G17,MATCH(H20,H3:H17,0))</f>
        <v>H. C. CORDEIRO</v>
      </c>
      <c r="H20" s="24">
        <f>MIN(H3:H17)</f>
        <v>2.5155504500000001</v>
      </c>
      <c r="I20" s="18"/>
    </row>
    <row r="21" spans="1:11">
      <c r="A21" s="25"/>
      <c r="B21" s="18"/>
      <c r="C21" s="26"/>
      <c r="D21" s="26"/>
      <c r="E21" s="26"/>
      <c r="F21" s="26"/>
      <c r="G21" s="18"/>
      <c r="H21" s="27"/>
      <c r="I21" s="28"/>
      <c r="J21" s="28"/>
      <c r="K21" s="28"/>
    </row>
    <row r="22" spans="1:11">
      <c r="B22" s="25"/>
      <c r="C22" s="25"/>
      <c r="D22" s="50"/>
      <c r="E22" s="50"/>
      <c r="F22" s="30"/>
      <c r="G22" s="31" t="s">
        <v>23</v>
      </c>
      <c r="H22" s="32">
        <f>IF(C20&lt;=25%,D20,MIN(E20:F20))</f>
        <v>2.86</v>
      </c>
    </row>
    <row r="23" spans="1:11">
      <c r="B23" s="25"/>
      <c r="C23" s="25"/>
      <c r="D23" s="50"/>
      <c r="E23" s="50"/>
      <c r="F23" s="33"/>
      <c r="G23" s="4" t="s">
        <v>24</v>
      </c>
      <c r="H23" s="24">
        <f>ROUND(H22,2)*D3</f>
        <v>21450</v>
      </c>
    </row>
    <row r="24" spans="1:11">
      <c r="B24" s="29"/>
      <c r="C24" s="29"/>
      <c r="D24" s="18"/>
      <c r="E24" s="18"/>
    </row>
    <row r="26" spans="1:11" ht="12.75" customHeight="1">
      <c r="A26" s="47" t="s">
        <v>25</v>
      </c>
      <c r="B26" s="47"/>
      <c r="C26" s="47"/>
      <c r="D26" s="47"/>
      <c r="E26" s="47"/>
      <c r="F26" s="47"/>
      <c r="G26" s="47"/>
      <c r="H26" s="47"/>
      <c r="I26" s="47"/>
    </row>
    <row r="27" spans="1:11" ht="12.75" customHeight="1">
      <c r="A27" s="47" t="s">
        <v>26</v>
      </c>
      <c r="B27" s="47"/>
      <c r="C27" s="47"/>
      <c r="D27" s="47"/>
      <c r="E27" s="47"/>
      <c r="F27" s="47"/>
      <c r="G27" s="47"/>
      <c r="H27" s="47"/>
      <c r="I27" s="47"/>
    </row>
    <row r="28" spans="1:11" ht="12.75" customHeight="1">
      <c r="A28" s="47" t="s">
        <v>27</v>
      </c>
      <c r="B28" s="47"/>
      <c r="C28" s="47"/>
      <c r="D28" s="47"/>
      <c r="E28" s="47"/>
      <c r="F28" s="47"/>
      <c r="G28" s="47"/>
      <c r="H28" s="47"/>
      <c r="I28" s="47"/>
    </row>
    <row r="29" spans="1:11" ht="12.75" customHeight="1">
      <c r="A29" s="47" t="s">
        <v>28</v>
      </c>
      <c r="B29" s="47"/>
      <c r="C29" s="47"/>
      <c r="D29" s="47"/>
      <c r="E29" s="47"/>
      <c r="F29" s="47"/>
      <c r="G29" s="47"/>
      <c r="H29" s="47"/>
      <c r="I29" s="47"/>
    </row>
    <row r="30" spans="1:11" ht="12.75" customHeight="1">
      <c r="A30" s="47" t="s">
        <v>29</v>
      </c>
      <c r="B30" s="47"/>
      <c r="C30" s="47"/>
      <c r="D30" s="47"/>
      <c r="E30" s="47"/>
      <c r="F30" s="47"/>
      <c r="G30" s="47"/>
      <c r="H30" s="47"/>
      <c r="I30" s="47"/>
    </row>
    <row r="31" spans="1:11" ht="12.75" customHeight="1">
      <c r="A31" s="47" t="s">
        <v>30</v>
      </c>
      <c r="B31" s="47"/>
      <c r="C31" s="47"/>
      <c r="D31" s="47"/>
      <c r="E31" s="47"/>
      <c r="F31" s="47"/>
      <c r="G31" s="47"/>
      <c r="H31" s="47"/>
      <c r="I31" s="47"/>
    </row>
    <row r="32" spans="1:11" ht="24.75" customHeight="1">
      <c r="A32" s="48" t="s">
        <v>31</v>
      </c>
      <c r="B32" s="48"/>
      <c r="C32" s="48"/>
      <c r="D32" s="48"/>
      <c r="E32" s="48"/>
      <c r="F32" s="48"/>
      <c r="G32" s="48"/>
      <c r="H32" s="48"/>
      <c r="I32" s="48"/>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H7" sqref="H7"/>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51" t="s">
        <v>0</v>
      </c>
      <c r="B1" s="51"/>
      <c r="C1" s="51"/>
      <c r="D1" s="51"/>
      <c r="E1" s="51"/>
      <c r="F1" s="51"/>
      <c r="G1" s="51"/>
      <c r="H1" s="51"/>
      <c r="I1" s="51"/>
    </row>
    <row r="2" spans="1:9" ht="25.5">
      <c r="A2" s="52" t="s">
        <v>90</v>
      </c>
      <c r="B2" s="2" t="s">
        <v>2</v>
      </c>
      <c r="C2" s="2" t="s">
        <v>3</v>
      </c>
      <c r="D2" s="2" t="s">
        <v>4</v>
      </c>
      <c r="E2" s="3" t="s">
        <v>5</v>
      </c>
      <c r="F2" s="3" t="s">
        <v>6</v>
      </c>
      <c r="G2" s="2" t="s">
        <v>7</v>
      </c>
      <c r="H2" s="4" t="s">
        <v>8</v>
      </c>
      <c r="I2" s="5" t="s">
        <v>9</v>
      </c>
    </row>
    <row r="3" spans="1:9" ht="12.75" customHeight="1">
      <c r="A3" s="52"/>
      <c r="B3" s="57" t="s">
        <v>91</v>
      </c>
      <c r="C3" s="54" t="s">
        <v>41</v>
      </c>
      <c r="D3" s="55">
        <v>50</v>
      </c>
      <c r="E3" s="56">
        <f>IF(C20&lt;=25%,D20,MIN(E20:F20))</f>
        <v>83.92</v>
      </c>
      <c r="F3" s="56">
        <f>MIN(H3:H17)</f>
        <v>74.93128999999999</v>
      </c>
      <c r="G3" s="6" t="s">
        <v>92</v>
      </c>
      <c r="H3" s="7">
        <f>70*1.070447</f>
        <v>74.93128999999999</v>
      </c>
      <c r="I3" s="8" t="str">
        <f t="shared" ref="I3:I17" si="0">IF(H3="","",(IF($C$20&lt;25%,"N/A",IF(H3&lt;=($D$20+$A$20),H3,"Descartado"))))</f>
        <v>N/A</v>
      </c>
    </row>
    <row r="4" spans="1:9">
      <c r="A4" s="52"/>
      <c r="B4" s="57"/>
      <c r="C4" s="54"/>
      <c r="D4" s="55"/>
      <c r="E4" s="56"/>
      <c r="F4" s="56"/>
      <c r="G4" s="6" t="s">
        <v>93</v>
      </c>
      <c r="H4" s="7">
        <f>74.94*1.070447</f>
        <v>80.219298179999996</v>
      </c>
      <c r="I4" s="8" t="str">
        <f t="shared" si="0"/>
        <v>N/A</v>
      </c>
    </row>
    <row r="5" spans="1:9">
      <c r="A5" s="52"/>
      <c r="B5" s="57"/>
      <c r="C5" s="54"/>
      <c r="D5" s="55"/>
      <c r="E5" s="56"/>
      <c r="F5" s="56"/>
      <c r="G5" s="6" t="s">
        <v>94</v>
      </c>
      <c r="H5" s="7">
        <f>77.49*1.070447</f>
        <v>82.948938029999994</v>
      </c>
      <c r="I5" s="8" t="str">
        <f t="shared" si="0"/>
        <v>N/A</v>
      </c>
    </row>
    <row r="6" spans="1:9">
      <c r="A6" s="52"/>
      <c r="B6" s="57"/>
      <c r="C6" s="54"/>
      <c r="D6" s="55"/>
      <c r="E6" s="56"/>
      <c r="F6" s="56"/>
      <c r="G6" s="6" t="s">
        <v>95</v>
      </c>
      <c r="H6" s="7">
        <f>91.15*1.070447</f>
        <v>97.571244050000004</v>
      </c>
      <c r="I6" s="8" t="str">
        <f t="shared" si="0"/>
        <v>N/A</v>
      </c>
    </row>
    <row r="7" spans="1:9">
      <c r="A7" s="52"/>
      <c r="B7" s="57"/>
      <c r="C7" s="54"/>
      <c r="D7" s="55"/>
      <c r="E7" s="56"/>
      <c r="F7" s="56"/>
      <c r="G7" s="6"/>
      <c r="H7" s="7"/>
      <c r="I7" s="8" t="str">
        <f t="shared" si="0"/>
        <v/>
      </c>
    </row>
    <row r="8" spans="1:9">
      <c r="A8" s="52"/>
      <c r="B8" s="57"/>
      <c r="C8" s="54"/>
      <c r="D8" s="55"/>
      <c r="E8" s="56"/>
      <c r="F8" s="56"/>
      <c r="G8" s="6"/>
      <c r="H8" s="7"/>
      <c r="I8" s="8" t="str">
        <f t="shared" si="0"/>
        <v/>
      </c>
    </row>
    <row r="9" spans="1:9">
      <c r="A9" s="52"/>
      <c r="B9" s="57"/>
      <c r="C9" s="54"/>
      <c r="D9" s="55"/>
      <c r="E9" s="56"/>
      <c r="F9" s="56"/>
      <c r="G9" s="6"/>
      <c r="H9" s="7"/>
      <c r="I9" s="8" t="str">
        <f t="shared" si="0"/>
        <v/>
      </c>
    </row>
    <row r="10" spans="1:9">
      <c r="A10" s="52"/>
      <c r="B10" s="57"/>
      <c r="C10" s="54"/>
      <c r="D10" s="55"/>
      <c r="E10" s="56"/>
      <c r="F10" s="56"/>
      <c r="G10" s="6"/>
      <c r="H10" s="7"/>
      <c r="I10" s="8" t="str">
        <f t="shared" si="0"/>
        <v/>
      </c>
    </row>
    <row r="11" spans="1:9">
      <c r="A11" s="52"/>
      <c r="B11" s="57"/>
      <c r="C11" s="54"/>
      <c r="D11" s="55"/>
      <c r="E11" s="56"/>
      <c r="F11" s="56"/>
      <c r="G11" s="6"/>
      <c r="H11" s="7"/>
      <c r="I11" s="8" t="str">
        <f t="shared" si="0"/>
        <v/>
      </c>
    </row>
    <row r="12" spans="1:9">
      <c r="A12" s="52"/>
      <c r="B12" s="57"/>
      <c r="C12" s="54"/>
      <c r="D12" s="55"/>
      <c r="E12" s="56"/>
      <c r="F12" s="56"/>
      <c r="G12" s="6"/>
      <c r="H12" s="7"/>
      <c r="I12" s="8" t="str">
        <f t="shared" si="0"/>
        <v/>
      </c>
    </row>
    <row r="13" spans="1:9">
      <c r="A13" s="52"/>
      <c r="B13" s="57"/>
      <c r="C13" s="54"/>
      <c r="D13" s="55"/>
      <c r="E13" s="56"/>
      <c r="F13" s="56"/>
      <c r="G13" s="6"/>
      <c r="H13" s="7"/>
      <c r="I13" s="8" t="str">
        <f t="shared" si="0"/>
        <v/>
      </c>
    </row>
    <row r="14" spans="1:9">
      <c r="A14" s="52"/>
      <c r="B14" s="57"/>
      <c r="C14" s="54"/>
      <c r="D14" s="55"/>
      <c r="E14" s="56"/>
      <c r="F14" s="56"/>
      <c r="G14" s="6"/>
      <c r="H14" s="7"/>
      <c r="I14" s="8" t="str">
        <f t="shared" si="0"/>
        <v/>
      </c>
    </row>
    <row r="15" spans="1:9">
      <c r="A15" s="52"/>
      <c r="B15" s="57"/>
      <c r="C15" s="54"/>
      <c r="D15" s="55"/>
      <c r="E15" s="56"/>
      <c r="F15" s="56"/>
      <c r="G15" s="6"/>
      <c r="H15" s="7"/>
      <c r="I15" s="8" t="str">
        <f t="shared" si="0"/>
        <v/>
      </c>
    </row>
    <row r="16" spans="1:9">
      <c r="A16" s="52"/>
      <c r="B16" s="57"/>
      <c r="C16" s="54"/>
      <c r="D16" s="55"/>
      <c r="E16" s="56"/>
      <c r="F16" s="56"/>
      <c r="G16" s="6"/>
      <c r="H16" s="7"/>
      <c r="I16" s="8" t="str">
        <f t="shared" si="0"/>
        <v/>
      </c>
    </row>
    <row r="17" spans="1:11">
      <c r="A17" s="52"/>
      <c r="B17" s="57"/>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16</v>
      </c>
      <c r="B19" s="5" t="s">
        <v>17</v>
      </c>
      <c r="C19" s="4" t="s">
        <v>18</v>
      </c>
      <c r="D19" s="16" t="s">
        <v>19</v>
      </c>
      <c r="E19" s="17" t="s">
        <v>20</v>
      </c>
      <c r="F19" s="16" t="s">
        <v>21</v>
      </c>
      <c r="G19" s="49" t="s">
        <v>22</v>
      </c>
      <c r="H19" s="49"/>
      <c r="I19" s="18"/>
    </row>
    <row r="20" spans="1:11">
      <c r="A20" s="19">
        <f>IF(B20&lt;2,"N/A",(STDEV(H3:H17)))</f>
        <v>9.691774959381231</v>
      </c>
      <c r="B20" s="19">
        <f>COUNT(H3:H17)</f>
        <v>4</v>
      </c>
      <c r="C20" s="20">
        <f>IF(B20&lt;2,"N/A",(A20/D20))</f>
        <v>0.11548826214705947</v>
      </c>
      <c r="D20" s="21">
        <f>ROUND(AVERAGE(H3:H17),2)</f>
        <v>83.92</v>
      </c>
      <c r="E20" s="22" t="str">
        <f>IFERROR(ROUND(IF(B20&lt;2,"N/A",(IF(C20&lt;=25%,"N/A",AVERAGE(I3:I17)))),2),"N/A")</f>
        <v>N/A</v>
      </c>
      <c r="F20" s="22">
        <f>ROUND(MEDIAN(H3:H17),2)</f>
        <v>81.58</v>
      </c>
      <c r="G20" s="23" t="str">
        <f>INDEX(G3:G17,MATCH(H20,H3:H17,0))</f>
        <v>GLOBO VISION COMERCIO E SERVICO LTDA</v>
      </c>
      <c r="H20" s="24">
        <f>MIN(H3:H17)</f>
        <v>74.93128999999999</v>
      </c>
      <c r="I20" s="18"/>
    </row>
    <row r="21" spans="1:11">
      <c r="A21" s="25"/>
      <c r="B21" s="18"/>
      <c r="C21" s="26"/>
      <c r="D21" s="26"/>
      <c r="E21" s="26"/>
      <c r="F21" s="26"/>
      <c r="G21" s="18"/>
      <c r="H21" s="27"/>
      <c r="I21" s="28"/>
      <c r="J21" s="28"/>
      <c r="K21" s="28"/>
    </row>
    <row r="22" spans="1:11">
      <c r="B22" s="25"/>
      <c r="C22" s="25"/>
      <c r="D22" s="50"/>
      <c r="E22" s="50"/>
      <c r="F22" s="30"/>
      <c r="G22" s="31" t="s">
        <v>23</v>
      </c>
      <c r="H22" s="32">
        <f>IF(C20&lt;=25%,D20,MIN(E20:F20))</f>
        <v>83.92</v>
      </c>
    </row>
    <row r="23" spans="1:11">
      <c r="B23" s="25"/>
      <c r="C23" s="25"/>
      <c r="D23" s="50"/>
      <c r="E23" s="50"/>
      <c r="F23" s="33"/>
      <c r="G23" s="4" t="s">
        <v>24</v>
      </c>
      <c r="H23" s="24">
        <f>ROUND(H22,2)*D3</f>
        <v>4196</v>
      </c>
    </row>
    <row r="24" spans="1:11">
      <c r="B24" s="29"/>
      <c r="C24" s="29"/>
      <c r="D24" s="18"/>
      <c r="E24" s="18"/>
    </row>
    <row r="26" spans="1:11" ht="12.75" customHeight="1">
      <c r="A26" s="47" t="s">
        <v>25</v>
      </c>
      <c r="B26" s="47"/>
      <c r="C26" s="47"/>
      <c r="D26" s="47"/>
      <c r="E26" s="47"/>
      <c r="F26" s="47"/>
      <c r="G26" s="47"/>
      <c r="H26" s="47"/>
      <c r="I26" s="47"/>
    </row>
    <row r="27" spans="1:11" ht="12.75" customHeight="1">
      <c r="A27" s="47" t="s">
        <v>26</v>
      </c>
      <c r="B27" s="47"/>
      <c r="C27" s="47"/>
      <c r="D27" s="47"/>
      <c r="E27" s="47"/>
      <c r="F27" s="47"/>
      <c r="G27" s="47"/>
      <c r="H27" s="47"/>
      <c r="I27" s="47"/>
    </row>
    <row r="28" spans="1:11" ht="12.75" customHeight="1">
      <c r="A28" s="47" t="s">
        <v>27</v>
      </c>
      <c r="B28" s="47"/>
      <c r="C28" s="47"/>
      <c r="D28" s="47"/>
      <c r="E28" s="47"/>
      <c r="F28" s="47"/>
      <c r="G28" s="47"/>
      <c r="H28" s="47"/>
      <c r="I28" s="47"/>
    </row>
    <row r="29" spans="1:11" ht="12.75" customHeight="1">
      <c r="A29" s="47" t="s">
        <v>28</v>
      </c>
      <c r="B29" s="47"/>
      <c r="C29" s="47"/>
      <c r="D29" s="47"/>
      <c r="E29" s="47"/>
      <c r="F29" s="47"/>
      <c r="G29" s="47"/>
      <c r="H29" s="47"/>
      <c r="I29" s="47"/>
    </row>
    <row r="30" spans="1:11" ht="12.75" customHeight="1">
      <c r="A30" s="47" t="s">
        <v>29</v>
      </c>
      <c r="B30" s="47"/>
      <c r="C30" s="47"/>
      <c r="D30" s="47"/>
      <c r="E30" s="47"/>
      <c r="F30" s="47"/>
      <c r="G30" s="47"/>
      <c r="H30" s="47"/>
      <c r="I30" s="47"/>
    </row>
    <row r="31" spans="1:11" ht="12.75" customHeight="1">
      <c r="A31" s="47" t="s">
        <v>30</v>
      </c>
      <c r="B31" s="47"/>
      <c r="C31" s="47"/>
      <c r="D31" s="47"/>
      <c r="E31" s="47"/>
      <c r="F31" s="47"/>
      <c r="G31" s="47"/>
      <c r="H31" s="47"/>
      <c r="I31" s="47"/>
    </row>
    <row r="32" spans="1:11" ht="24.75" customHeight="1">
      <c r="A32" s="48" t="s">
        <v>31</v>
      </c>
      <c r="B32" s="48"/>
      <c r="C32" s="48"/>
      <c r="D32" s="48"/>
      <c r="E32" s="48"/>
      <c r="F32" s="48"/>
      <c r="G32" s="48"/>
      <c r="H32" s="48"/>
      <c r="I32" s="48"/>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H4" sqref="H4"/>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51" t="s">
        <v>0</v>
      </c>
      <c r="B1" s="51"/>
      <c r="C1" s="51"/>
      <c r="D1" s="51"/>
      <c r="E1" s="51"/>
      <c r="F1" s="51"/>
      <c r="G1" s="51"/>
      <c r="H1" s="51"/>
      <c r="I1" s="51"/>
    </row>
    <row r="2" spans="1:9" ht="25.5">
      <c r="A2" s="52" t="s">
        <v>96</v>
      </c>
      <c r="B2" s="2" t="s">
        <v>2</v>
      </c>
      <c r="C2" s="2" t="s">
        <v>3</v>
      </c>
      <c r="D2" s="2" t="s">
        <v>4</v>
      </c>
      <c r="E2" s="3" t="s">
        <v>5</v>
      </c>
      <c r="F2" s="3" t="s">
        <v>6</v>
      </c>
      <c r="G2" s="2" t="s">
        <v>7</v>
      </c>
      <c r="H2" s="4" t="s">
        <v>8</v>
      </c>
      <c r="I2" s="5" t="s">
        <v>9</v>
      </c>
    </row>
    <row r="3" spans="1:9" ht="12.75" customHeight="1">
      <c r="A3" s="52"/>
      <c r="B3" s="57" t="s">
        <v>97</v>
      </c>
      <c r="C3" s="54" t="s">
        <v>41</v>
      </c>
      <c r="D3" s="55">
        <f>30000*0.25</f>
        <v>7500</v>
      </c>
      <c r="E3" s="56">
        <f>IF(C20&lt;=25%,D20,MIN(E20:F20))</f>
        <v>3.73</v>
      </c>
      <c r="F3" s="56">
        <f>MIN(H3:H17)</f>
        <v>3.7251555599999997</v>
      </c>
      <c r="G3" s="6" t="s">
        <v>98</v>
      </c>
      <c r="H3" s="7">
        <f>3.48*1.070447</f>
        <v>3.7251555599999997</v>
      </c>
      <c r="I3" s="8" t="e">
        <f t="shared" ref="I3:I17" si="0">IF(H3="","",(IF($C$20&lt;25%,"N/A",IF(H3&lt;=($D$20+$A$20),H3,"Descartado"))))</f>
        <v>#VALUE!</v>
      </c>
    </row>
    <row r="4" spans="1:9">
      <c r="A4" s="52"/>
      <c r="B4" s="57"/>
      <c r="C4" s="54"/>
      <c r="D4" s="55"/>
      <c r="E4" s="56"/>
      <c r="F4" s="56"/>
      <c r="G4" s="6"/>
      <c r="H4" s="7"/>
      <c r="I4" s="8" t="str">
        <f t="shared" si="0"/>
        <v/>
      </c>
    </row>
    <row r="5" spans="1:9">
      <c r="A5" s="52"/>
      <c r="B5" s="57"/>
      <c r="C5" s="54"/>
      <c r="D5" s="55"/>
      <c r="E5" s="56"/>
      <c r="F5" s="56"/>
      <c r="G5" s="6"/>
      <c r="H5" s="7"/>
      <c r="I5" s="8" t="str">
        <f t="shared" si="0"/>
        <v/>
      </c>
    </row>
    <row r="6" spans="1:9">
      <c r="A6" s="52"/>
      <c r="B6" s="57"/>
      <c r="C6" s="54"/>
      <c r="D6" s="55"/>
      <c r="E6" s="56"/>
      <c r="F6" s="56"/>
      <c r="G6" s="6"/>
      <c r="H6" s="7"/>
      <c r="I6" s="8" t="str">
        <f t="shared" si="0"/>
        <v/>
      </c>
    </row>
    <row r="7" spans="1:9">
      <c r="A7" s="52"/>
      <c r="B7" s="57"/>
      <c r="C7" s="54"/>
      <c r="D7" s="55"/>
      <c r="E7" s="56"/>
      <c r="F7" s="56"/>
      <c r="G7" s="6"/>
      <c r="H7" s="7"/>
      <c r="I7" s="8" t="str">
        <f t="shared" si="0"/>
        <v/>
      </c>
    </row>
    <row r="8" spans="1:9">
      <c r="A8" s="52"/>
      <c r="B8" s="57"/>
      <c r="C8" s="54"/>
      <c r="D8" s="55"/>
      <c r="E8" s="56"/>
      <c r="F8" s="56"/>
      <c r="G8" s="6"/>
      <c r="H8" s="7"/>
      <c r="I8" s="8" t="str">
        <f t="shared" si="0"/>
        <v/>
      </c>
    </row>
    <row r="9" spans="1:9">
      <c r="A9" s="52"/>
      <c r="B9" s="57"/>
      <c r="C9" s="54"/>
      <c r="D9" s="55"/>
      <c r="E9" s="56"/>
      <c r="F9" s="56"/>
      <c r="G9" s="6"/>
      <c r="H9" s="7"/>
      <c r="I9" s="8" t="str">
        <f t="shared" si="0"/>
        <v/>
      </c>
    </row>
    <row r="10" spans="1:9">
      <c r="A10" s="52"/>
      <c r="B10" s="57"/>
      <c r="C10" s="54"/>
      <c r="D10" s="55"/>
      <c r="E10" s="56"/>
      <c r="F10" s="56"/>
      <c r="G10" s="6"/>
      <c r="H10" s="7"/>
      <c r="I10" s="8" t="str">
        <f t="shared" si="0"/>
        <v/>
      </c>
    </row>
    <row r="11" spans="1:9">
      <c r="A11" s="52"/>
      <c r="B11" s="57"/>
      <c r="C11" s="54"/>
      <c r="D11" s="55"/>
      <c r="E11" s="56"/>
      <c r="F11" s="56"/>
      <c r="G11" s="6"/>
      <c r="H11" s="7"/>
      <c r="I11" s="8" t="str">
        <f t="shared" si="0"/>
        <v/>
      </c>
    </row>
    <row r="12" spans="1:9">
      <c r="A12" s="52"/>
      <c r="B12" s="57"/>
      <c r="C12" s="54"/>
      <c r="D12" s="55"/>
      <c r="E12" s="56"/>
      <c r="F12" s="56"/>
      <c r="G12" s="6"/>
      <c r="H12" s="7"/>
      <c r="I12" s="8" t="str">
        <f t="shared" si="0"/>
        <v/>
      </c>
    </row>
    <row r="13" spans="1:9">
      <c r="A13" s="52"/>
      <c r="B13" s="57"/>
      <c r="C13" s="54"/>
      <c r="D13" s="55"/>
      <c r="E13" s="56"/>
      <c r="F13" s="56"/>
      <c r="G13" s="6"/>
      <c r="H13" s="7"/>
      <c r="I13" s="8" t="str">
        <f t="shared" si="0"/>
        <v/>
      </c>
    </row>
    <row r="14" spans="1:9">
      <c r="A14" s="52"/>
      <c r="B14" s="57"/>
      <c r="C14" s="54"/>
      <c r="D14" s="55"/>
      <c r="E14" s="56"/>
      <c r="F14" s="56"/>
      <c r="G14" s="6"/>
      <c r="H14" s="7"/>
      <c r="I14" s="8" t="str">
        <f t="shared" si="0"/>
        <v/>
      </c>
    </row>
    <row r="15" spans="1:9">
      <c r="A15" s="52"/>
      <c r="B15" s="57"/>
      <c r="C15" s="54"/>
      <c r="D15" s="55"/>
      <c r="E15" s="56"/>
      <c r="F15" s="56"/>
      <c r="G15" s="6"/>
      <c r="H15" s="7"/>
      <c r="I15" s="8" t="str">
        <f t="shared" si="0"/>
        <v/>
      </c>
    </row>
    <row r="16" spans="1:9">
      <c r="A16" s="52"/>
      <c r="B16" s="57"/>
      <c r="C16" s="54"/>
      <c r="D16" s="55"/>
      <c r="E16" s="56"/>
      <c r="F16" s="56"/>
      <c r="G16" s="6"/>
      <c r="H16" s="7"/>
      <c r="I16" s="8" t="str">
        <f t="shared" si="0"/>
        <v/>
      </c>
    </row>
    <row r="17" spans="1:11">
      <c r="A17" s="52"/>
      <c r="B17" s="57"/>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16</v>
      </c>
      <c r="B19" s="5" t="s">
        <v>17</v>
      </c>
      <c r="C19" s="4" t="s">
        <v>18</v>
      </c>
      <c r="D19" s="16" t="s">
        <v>19</v>
      </c>
      <c r="E19" s="17" t="s">
        <v>20</v>
      </c>
      <c r="F19" s="16" t="s">
        <v>21</v>
      </c>
      <c r="G19" s="49" t="s">
        <v>22</v>
      </c>
      <c r="H19" s="49"/>
      <c r="I19" s="18"/>
    </row>
    <row r="20" spans="1:11">
      <c r="A20" s="19" t="str">
        <f>IF(B20&lt;2,"N/A",(STDEV(H3:H17)))</f>
        <v>N/A</v>
      </c>
      <c r="B20" s="19">
        <f>COUNT(H3:H17)</f>
        <v>1</v>
      </c>
      <c r="C20" s="20" t="str">
        <f>IF(B20&lt;2,"N/A",(A20/D20))</f>
        <v>N/A</v>
      </c>
      <c r="D20" s="21">
        <f>ROUND(AVERAGE(H3:H17),2)</f>
        <v>3.73</v>
      </c>
      <c r="E20" s="22" t="str">
        <f>IFERROR(ROUND(IF(B20&lt;2,"N/A",(IF(C20&lt;=25%,"N/A",AVERAGE(I3:I17)))),2),"N/A")</f>
        <v>N/A</v>
      </c>
      <c r="F20" s="22">
        <f>ROUND(MEDIAN(H3:H17),2)</f>
        <v>3.73</v>
      </c>
      <c r="G20" s="23" t="str">
        <f>INDEX(G3:G17,MATCH(H20,H3:H17,0))</f>
        <v>MÁXIMO INDÚSTRIA E COMÉRCIO EIRELI</v>
      </c>
      <c r="H20" s="24">
        <f>MIN(H3:H17)</f>
        <v>3.7251555599999997</v>
      </c>
      <c r="I20" s="18"/>
    </row>
    <row r="21" spans="1:11">
      <c r="A21" s="25"/>
      <c r="B21" s="18"/>
      <c r="C21" s="26"/>
      <c r="D21" s="26"/>
      <c r="E21" s="26"/>
      <c r="F21" s="26"/>
      <c r="G21" s="18"/>
      <c r="H21" s="27"/>
      <c r="I21" s="28"/>
      <c r="J21" s="28"/>
      <c r="K21" s="28"/>
    </row>
    <row r="22" spans="1:11">
      <c r="B22" s="25"/>
      <c r="C22" s="25"/>
      <c r="D22" s="50"/>
      <c r="E22" s="50"/>
      <c r="F22" s="30"/>
      <c r="G22" s="31" t="s">
        <v>23</v>
      </c>
      <c r="H22" s="32">
        <f>IF(C20&lt;=25%,D20,MIN(E20:F20))</f>
        <v>3.73</v>
      </c>
    </row>
    <row r="23" spans="1:11">
      <c r="B23" s="25"/>
      <c r="C23" s="25"/>
      <c r="D23" s="50"/>
      <c r="E23" s="50"/>
      <c r="F23" s="33"/>
      <c r="G23" s="4" t="s">
        <v>24</v>
      </c>
      <c r="H23" s="24">
        <f>ROUND(H22,2)*D3</f>
        <v>27975</v>
      </c>
    </row>
    <row r="24" spans="1:11">
      <c r="B24" s="29"/>
      <c r="C24" s="29"/>
      <c r="D24" s="18"/>
      <c r="E24" s="18"/>
    </row>
    <row r="26" spans="1:11" ht="12.75" customHeight="1">
      <c r="A26" s="47" t="s">
        <v>25</v>
      </c>
      <c r="B26" s="47"/>
      <c r="C26" s="47"/>
      <c r="D26" s="47"/>
      <c r="E26" s="47"/>
      <c r="F26" s="47"/>
      <c r="G26" s="47"/>
      <c r="H26" s="47"/>
      <c r="I26" s="47"/>
    </row>
    <row r="27" spans="1:11" ht="12.75" customHeight="1">
      <c r="A27" s="47" t="s">
        <v>26</v>
      </c>
      <c r="B27" s="47"/>
      <c r="C27" s="47"/>
      <c r="D27" s="47"/>
      <c r="E27" s="47"/>
      <c r="F27" s="47"/>
      <c r="G27" s="47"/>
      <c r="H27" s="47"/>
      <c r="I27" s="47"/>
    </row>
    <row r="28" spans="1:11" ht="12.75" customHeight="1">
      <c r="A28" s="47" t="s">
        <v>27</v>
      </c>
      <c r="B28" s="47"/>
      <c r="C28" s="47"/>
      <c r="D28" s="47"/>
      <c r="E28" s="47"/>
      <c r="F28" s="47"/>
      <c r="G28" s="47"/>
      <c r="H28" s="47"/>
      <c r="I28" s="47"/>
    </row>
    <row r="29" spans="1:11" ht="12.75" customHeight="1">
      <c r="A29" s="47" t="s">
        <v>28</v>
      </c>
      <c r="B29" s="47"/>
      <c r="C29" s="47"/>
      <c r="D29" s="47"/>
      <c r="E29" s="47"/>
      <c r="F29" s="47"/>
      <c r="G29" s="47"/>
      <c r="H29" s="47"/>
      <c r="I29" s="47"/>
    </row>
    <row r="30" spans="1:11" ht="12.75" customHeight="1">
      <c r="A30" s="47" t="s">
        <v>29</v>
      </c>
      <c r="B30" s="47"/>
      <c r="C30" s="47"/>
      <c r="D30" s="47"/>
      <c r="E30" s="47"/>
      <c r="F30" s="47"/>
      <c r="G30" s="47"/>
      <c r="H30" s="47"/>
      <c r="I30" s="47"/>
    </row>
    <row r="31" spans="1:11" ht="12.75" customHeight="1">
      <c r="A31" s="47" t="s">
        <v>30</v>
      </c>
      <c r="B31" s="47"/>
      <c r="C31" s="47"/>
      <c r="D31" s="47"/>
      <c r="E31" s="47"/>
      <c r="F31" s="47"/>
      <c r="G31" s="47"/>
      <c r="H31" s="47"/>
      <c r="I31" s="47"/>
    </row>
    <row r="32" spans="1:11" ht="24.75" customHeight="1">
      <c r="A32" s="48" t="s">
        <v>31</v>
      </c>
      <c r="B32" s="48"/>
      <c r="C32" s="48"/>
      <c r="D32" s="48"/>
      <c r="E32" s="48"/>
      <c r="F32" s="48"/>
      <c r="G32" s="48"/>
      <c r="H32" s="48"/>
      <c r="I32" s="48"/>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H7" sqref="H7"/>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51" t="s">
        <v>0</v>
      </c>
      <c r="B1" s="51"/>
      <c r="C1" s="51"/>
      <c r="D1" s="51"/>
      <c r="E1" s="51"/>
      <c r="F1" s="51"/>
      <c r="G1" s="51"/>
      <c r="H1" s="51"/>
      <c r="I1" s="51"/>
    </row>
    <row r="2" spans="1:9" ht="25.5">
      <c r="A2" s="52" t="s">
        <v>99</v>
      </c>
      <c r="B2" s="2" t="s">
        <v>2</v>
      </c>
      <c r="C2" s="2" t="s">
        <v>3</v>
      </c>
      <c r="D2" s="2" t="s">
        <v>4</v>
      </c>
      <c r="E2" s="3" t="s">
        <v>5</v>
      </c>
      <c r="F2" s="3" t="s">
        <v>6</v>
      </c>
      <c r="G2" s="2" t="s">
        <v>7</v>
      </c>
      <c r="H2" s="4" t="s">
        <v>8</v>
      </c>
      <c r="I2" s="5" t="s">
        <v>9</v>
      </c>
    </row>
    <row r="3" spans="1:9" ht="12.75" customHeight="1">
      <c r="A3" s="52"/>
      <c r="B3" s="57" t="s">
        <v>100</v>
      </c>
      <c r="C3" s="54" t="s">
        <v>41</v>
      </c>
      <c r="D3" s="55">
        <v>300</v>
      </c>
      <c r="E3" s="56">
        <f>IF(C20&lt;=25%,D20,MIN(E20:F20))</f>
        <v>84.78</v>
      </c>
      <c r="F3" s="56">
        <f>MIN(H3:H17)</f>
        <v>73.860842999999988</v>
      </c>
      <c r="G3" s="6" t="s">
        <v>101</v>
      </c>
      <c r="H3" s="7">
        <f>69*1.070447</f>
        <v>73.860842999999988</v>
      </c>
      <c r="I3" s="8" t="str">
        <f t="shared" ref="I3:I17" si="0">IF(H3="","",(IF($C$20&lt;25%,"N/A",IF(H3&lt;=($D$20+$A$20),H3,"Descartado"))))</f>
        <v>N/A</v>
      </c>
    </row>
    <row r="4" spans="1:9">
      <c r="A4" s="52"/>
      <c r="B4" s="57"/>
      <c r="C4" s="54"/>
      <c r="D4" s="55"/>
      <c r="E4" s="56"/>
      <c r="F4" s="56"/>
      <c r="G4" s="6" t="s">
        <v>102</v>
      </c>
      <c r="H4" s="7">
        <f>70*1.070447</f>
        <v>74.93128999999999</v>
      </c>
      <c r="I4" s="8" t="str">
        <f t="shared" si="0"/>
        <v>N/A</v>
      </c>
    </row>
    <row r="5" spans="1:9">
      <c r="A5" s="52"/>
      <c r="B5" s="57"/>
      <c r="C5" s="54"/>
      <c r="D5" s="55"/>
      <c r="E5" s="56"/>
      <c r="F5" s="56"/>
      <c r="G5" s="6" t="s">
        <v>103</v>
      </c>
      <c r="H5" s="7">
        <f>99.9*1.070447</f>
        <v>106.9376553</v>
      </c>
      <c r="I5" s="8" t="str">
        <f t="shared" si="0"/>
        <v>N/A</v>
      </c>
    </row>
    <row r="6" spans="1:9">
      <c r="A6" s="52"/>
      <c r="B6" s="57"/>
      <c r="C6" s="54"/>
      <c r="D6" s="55"/>
      <c r="E6" s="56"/>
      <c r="F6" s="56"/>
      <c r="G6" s="6" t="s">
        <v>54</v>
      </c>
      <c r="H6" s="7">
        <f>77.9*1.070447</f>
        <v>83.387821299999999</v>
      </c>
      <c r="I6" s="8" t="str">
        <f t="shared" si="0"/>
        <v>N/A</v>
      </c>
    </row>
    <row r="7" spans="1:9">
      <c r="A7" s="52"/>
      <c r="B7" s="57"/>
      <c r="C7" s="54"/>
      <c r="D7" s="55"/>
      <c r="E7" s="56"/>
      <c r="F7" s="56"/>
      <c r="G7" s="6"/>
      <c r="H7" s="7"/>
      <c r="I7" s="8" t="str">
        <f t="shared" si="0"/>
        <v/>
      </c>
    </row>
    <row r="8" spans="1:9">
      <c r="A8" s="52"/>
      <c r="B8" s="57"/>
      <c r="C8" s="54"/>
      <c r="D8" s="55"/>
      <c r="E8" s="56"/>
      <c r="F8" s="56"/>
      <c r="G8" s="6"/>
      <c r="H8" s="7"/>
      <c r="I8" s="8" t="str">
        <f t="shared" si="0"/>
        <v/>
      </c>
    </row>
    <row r="9" spans="1:9">
      <c r="A9" s="52"/>
      <c r="B9" s="57"/>
      <c r="C9" s="54"/>
      <c r="D9" s="55"/>
      <c r="E9" s="56"/>
      <c r="F9" s="56"/>
      <c r="G9" s="6"/>
      <c r="H9" s="7"/>
      <c r="I9" s="8" t="str">
        <f t="shared" si="0"/>
        <v/>
      </c>
    </row>
    <row r="10" spans="1:9">
      <c r="A10" s="52"/>
      <c r="B10" s="57"/>
      <c r="C10" s="54"/>
      <c r="D10" s="55"/>
      <c r="E10" s="56"/>
      <c r="F10" s="56"/>
      <c r="G10" s="6"/>
      <c r="H10" s="7"/>
      <c r="I10" s="8" t="str">
        <f t="shared" si="0"/>
        <v/>
      </c>
    </row>
    <row r="11" spans="1:9">
      <c r="A11" s="52"/>
      <c r="B11" s="57"/>
      <c r="C11" s="54"/>
      <c r="D11" s="55"/>
      <c r="E11" s="56"/>
      <c r="F11" s="56"/>
      <c r="G11" s="6"/>
      <c r="H11" s="7"/>
      <c r="I11" s="8" t="str">
        <f t="shared" si="0"/>
        <v/>
      </c>
    </row>
    <row r="12" spans="1:9">
      <c r="A12" s="52"/>
      <c r="B12" s="57"/>
      <c r="C12" s="54"/>
      <c r="D12" s="55"/>
      <c r="E12" s="56"/>
      <c r="F12" s="56"/>
      <c r="G12" s="6"/>
      <c r="H12" s="7"/>
      <c r="I12" s="8" t="str">
        <f t="shared" si="0"/>
        <v/>
      </c>
    </row>
    <row r="13" spans="1:9">
      <c r="A13" s="52"/>
      <c r="B13" s="57"/>
      <c r="C13" s="54"/>
      <c r="D13" s="55"/>
      <c r="E13" s="56"/>
      <c r="F13" s="56"/>
      <c r="G13" s="6"/>
      <c r="H13" s="7"/>
      <c r="I13" s="8" t="str">
        <f t="shared" si="0"/>
        <v/>
      </c>
    </row>
    <row r="14" spans="1:9">
      <c r="A14" s="52"/>
      <c r="B14" s="57"/>
      <c r="C14" s="54"/>
      <c r="D14" s="55"/>
      <c r="E14" s="56"/>
      <c r="F14" s="56"/>
      <c r="G14" s="6"/>
      <c r="H14" s="7"/>
      <c r="I14" s="8" t="str">
        <f t="shared" si="0"/>
        <v/>
      </c>
    </row>
    <row r="15" spans="1:9">
      <c r="A15" s="52"/>
      <c r="B15" s="57"/>
      <c r="C15" s="54"/>
      <c r="D15" s="55"/>
      <c r="E15" s="56"/>
      <c r="F15" s="56"/>
      <c r="G15" s="6"/>
      <c r="H15" s="7"/>
      <c r="I15" s="8" t="str">
        <f t="shared" si="0"/>
        <v/>
      </c>
    </row>
    <row r="16" spans="1:9">
      <c r="A16" s="52"/>
      <c r="B16" s="57"/>
      <c r="C16" s="54"/>
      <c r="D16" s="55"/>
      <c r="E16" s="56"/>
      <c r="F16" s="56"/>
      <c r="G16" s="6"/>
      <c r="H16" s="7"/>
      <c r="I16" s="8" t="str">
        <f t="shared" si="0"/>
        <v/>
      </c>
    </row>
    <row r="17" spans="1:11">
      <c r="A17" s="52"/>
      <c r="B17" s="57"/>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16</v>
      </c>
      <c r="B19" s="5" t="s">
        <v>17</v>
      </c>
      <c r="C19" s="4" t="s">
        <v>18</v>
      </c>
      <c r="D19" s="16" t="s">
        <v>19</v>
      </c>
      <c r="E19" s="17" t="s">
        <v>20</v>
      </c>
      <c r="F19" s="16" t="s">
        <v>21</v>
      </c>
      <c r="G19" s="49" t="s">
        <v>22</v>
      </c>
      <c r="H19" s="49"/>
      <c r="I19" s="18"/>
    </row>
    <row r="20" spans="1:11">
      <c r="A20" s="19">
        <f>IF(B20&lt;2,"N/A",(STDEV(H3:H17)))</f>
        <v>15.374491067485819</v>
      </c>
      <c r="B20" s="19">
        <f>COUNT(H3:H17)</f>
        <v>4</v>
      </c>
      <c r="C20" s="20">
        <f>IF(B20&lt;2,"N/A",(A20/D20))</f>
        <v>0.18134573092104056</v>
      </c>
      <c r="D20" s="21">
        <f>ROUND(AVERAGE(H3:H17),2)</f>
        <v>84.78</v>
      </c>
      <c r="E20" s="22" t="str">
        <f>IFERROR(ROUND(IF(B20&lt;2,"N/A",(IF(C20&lt;=25%,"N/A",AVERAGE(I3:I17)))),2),"N/A")</f>
        <v>N/A</v>
      </c>
      <c r="F20" s="22">
        <f>ROUND(MEDIAN(H3:H17),2)</f>
        <v>79.16</v>
      </c>
      <c r="G20" s="23" t="str">
        <f>INDEX(G3:G17,MATCH(H20,H3:H17,0))</f>
        <v>MAEPE MATERIAIS PARA EMPRESAS LTDA</v>
      </c>
      <c r="H20" s="24">
        <f>MIN(H3:H17)</f>
        <v>73.860842999999988</v>
      </c>
      <c r="I20" s="18"/>
    </row>
    <row r="21" spans="1:11">
      <c r="A21" s="25"/>
      <c r="B21" s="18"/>
      <c r="C21" s="26"/>
      <c r="D21" s="26"/>
      <c r="E21" s="26"/>
      <c r="F21" s="26"/>
      <c r="G21" s="18"/>
      <c r="H21" s="27"/>
      <c r="I21" s="28"/>
      <c r="J21" s="28"/>
      <c r="K21" s="28"/>
    </row>
    <row r="22" spans="1:11">
      <c r="B22" s="25"/>
      <c r="C22" s="25"/>
      <c r="D22" s="50"/>
      <c r="E22" s="50"/>
      <c r="F22" s="30"/>
      <c r="G22" s="31" t="s">
        <v>23</v>
      </c>
      <c r="H22" s="32">
        <f>IF(C20&lt;=25%,D20,MIN(E20:F20))</f>
        <v>84.78</v>
      </c>
    </row>
    <row r="23" spans="1:11">
      <c r="B23" s="25"/>
      <c r="C23" s="25"/>
      <c r="D23" s="50"/>
      <c r="E23" s="50"/>
      <c r="F23" s="33"/>
      <c r="G23" s="4" t="s">
        <v>24</v>
      </c>
      <c r="H23" s="24">
        <f>ROUND(H22,2)*D3</f>
        <v>25434</v>
      </c>
    </row>
    <row r="24" spans="1:11">
      <c r="B24" s="29"/>
      <c r="C24" s="29"/>
      <c r="D24" s="18"/>
      <c r="E24" s="18"/>
    </row>
    <row r="26" spans="1:11" ht="12.75" customHeight="1">
      <c r="A26" s="47" t="s">
        <v>25</v>
      </c>
      <c r="B26" s="47"/>
      <c r="C26" s="47"/>
      <c r="D26" s="47"/>
      <c r="E26" s="47"/>
      <c r="F26" s="47"/>
      <c r="G26" s="47"/>
      <c r="H26" s="47"/>
      <c r="I26" s="47"/>
    </row>
    <row r="27" spans="1:11" ht="12.75" customHeight="1">
      <c r="A27" s="47" t="s">
        <v>26</v>
      </c>
      <c r="B27" s="47"/>
      <c r="C27" s="47"/>
      <c r="D27" s="47"/>
      <c r="E27" s="47"/>
      <c r="F27" s="47"/>
      <c r="G27" s="47"/>
      <c r="H27" s="47"/>
      <c r="I27" s="47"/>
    </row>
    <row r="28" spans="1:11" ht="12.75" customHeight="1">
      <c r="A28" s="47" t="s">
        <v>27</v>
      </c>
      <c r="B28" s="47"/>
      <c r="C28" s="47"/>
      <c r="D28" s="47"/>
      <c r="E28" s="47"/>
      <c r="F28" s="47"/>
      <c r="G28" s="47"/>
      <c r="H28" s="47"/>
      <c r="I28" s="47"/>
    </row>
    <row r="29" spans="1:11" ht="12.75" customHeight="1">
      <c r="A29" s="47" t="s">
        <v>28</v>
      </c>
      <c r="B29" s="47"/>
      <c r="C29" s="47"/>
      <c r="D29" s="47"/>
      <c r="E29" s="47"/>
      <c r="F29" s="47"/>
      <c r="G29" s="47"/>
      <c r="H29" s="47"/>
      <c r="I29" s="47"/>
    </row>
    <row r="30" spans="1:11" ht="12.75" customHeight="1">
      <c r="A30" s="47" t="s">
        <v>29</v>
      </c>
      <c r="B30" s="47"/>
      <c r="C30" s="47"/>
      <c r="D30" s="47"/>
      <c r="E30" s="47"/>
      <c r="F30" s="47"/>
      <c r="G30" s="47"/>
      <c r="H30" s="47"/>
      <c r="I30" s="47"/>
    </row>
    <row r="31" spans="1:11" ht="12.75" customHeight="1">
      <c r="A31" s="47" t="s">
        <v>30</v>
      </c>
      <c r="B31" s="47"/>
      <c r="C31" s="47"/>
      <c r="D31" s="47"/>
      <c r="E31" s="47"/>
      <c r="F31" s="47"/>
      <c r="G31" s="47"/>
      <c r="H31" s="47"/>
      <c r="I31" s="47"/>
    </row>
    <row r="32" spans="1:11" ht="24.75" customHeight="1">
      <c r="A32" s="48" t="s">
        <v>31</v>
      </c>
      <c r="B32" s="48"/>
      <c r="C32" s="48"/>
      <c r="D32" s="48"/>
      <c r="E32" s="48"/>
      <c r="F32" s="48"/>
      <c r="G32" s="48"/>
      <c r="H32" s="48"/>
      <c r="I32" s="48"/>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H8" sqref="H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51" t="s">
        <v>0</v>
      </c>
      <c r="B1" s="51"/>
      <c r="C1" s="51"/>
      <c r="D1" s="51"/>
      <c r="E1" s="51"/>
      <c r="F1" s="51"/>
      <c r="G1" s="51"/>
      <c r="H1" s="51"/>
      <c r="I1" s="51"/>
    </row>
    <row r="2" spans="1:9" ht="25.5">
      <c r="A2" s="52" t="s">
        <v>104</v>
      </c>
      <c r="B2" s="2" t="s">
        <v>2</v>
      </c>
      <c r="C2" s="2" t="s">
        <v>3</v>
      </c>
      <c r="D2" s="2" t="s">
        <v>4</v>
      </c>
      <c r="E2" s="3" t="s">
        <v>5</v>
      </c>
      <c r="F2" s="3" t="s">
        <v>6</v>
      </c>
      <c r="G2" s="2" t="s">
        <v>7</v>
      </c>
      <c r="H2" s="4" t="s">
        <v>8</v>
      </c>
      <c r="I2" s="5" t="s">
        <v>9</v>
      </c>
    </row>
    <row r="3" spans="1:9" ht="12.75" customHeight="1">
      <c r="A3" s="52"/>
      <c r="B3" s="57" t="s">
        <v>105</v>
      </c>
      <c r="C3" s="54" t="s">
        <v>41</v>
      </c>
      <c r="D3" s="55">
        <v>200</v>
      </c>
      <c r="E3" s="56">
        <f>IF(C20&lt;=25%,D20,MIN(E20:F20))</f>
        <v>22.37</v>
      </c>
      <c r="F3" s="56">
        <f>MIN(H3:H17)</f>
        <v>13.369883029999999</v>
      </c>
      <c r="G3" s="6" t="s">
        <v>106</v>
      </c>
      <c r="H3" s="7">
        <f>12.49*1.070447</f>
        <v>13.369883029999999</v>
      </c>
      <c r="I3" s="8">
        <f t="shared" ref="I3:I17" si="0">IF(H3="","",(IF($C$20&lt;25%,"N/A",IF(H3&lt;=($D$20+$A$20),H3,"Descartado"))))</f>
        <v>13.369883029999999</v>
      </c>
    </row>
    <row r="4" spans="1:9">
      <c r="A4" s="52"/>
      <c r="B4" s="57"/>
      <c r="C4" s="54"/>
      <c r="D4" s="55"/>
      <c r="E4" s="56"/>
      <c r="F4" s="56"/>
      <c r="G4" s="6" t="s">
        <v>89</v>
      </c>
      <c r="H4" s="7">
        <f>18*1.070447</f>
        <v>19.268045999999998</v>
      </c>
      <c r="I4" s="8">
        <f t="shared" si="0"/>
        <v>19.268045999999998</v>
      </c>
    </row>
    <row r="5" spans="1:9">
      <c r="A5" s="52"/>
      <c r="B5" s="57"/>
      <c r="C5" s="54"/>
      <c r="D5" s="55"/>
      <c r="E5" s="56"/>
      <c r="F5" s="56"/>
      <c r="G5" s="6" t="s">
        <v>107</v>
      </c>
      <c r="H5" s="7">
        <f>20.9*1.070447</f>
        <v>22.372342299999996</v>
      </c>
      <c r="I5" s="8">
        <f t="shared" si="0"/>
        <v>22.372342299999996</v>
      </c>
    </row>
    <row r="6" spans="1:9">
      <c r="A6" s="52"/>
      <c r="B6" s="57"/>
      <c r="C6" s="54"/>
      <c r="D6" s="55"/>
      <c r="E6" s="56"/>
      <c r="F6" s="56"/>
      <c r="G6" s="6" t="s">
        <v>108</v>
      </c>
      <c r="H6" s="7">
        <f>51.52*1.070447</f>
        <v>55.149429439999999</v>
      </c>
      <c r="I6" s="8" t="str">
        <f t="shared" si="0"/>
        <v>Descartado</v>
      </c>
    </row>
    <row r="7" spans="1:9">
      <c r="A7" s="52"/>
      <c r="B7" s="57"/>
      <c r="C7" s="54"/>
      <c r="D7" s="55"/>
      <c r="E7" s="56"/>
      <c r="F7" s="56"/>
      <c r="G7" s="6" t="s">
        <v>109</v>
      </c>
      <c r="H7" s="7">
        <f>34.1*1.070447</f>
        <v>36.502242699999996</v>
      </c>
      <c r="I7" s="8">
        <f t="shared" si="0"/>
        <v>36.502242699999996</v>
      </c>
    </row>
    <row r="8" spans="1:9">
      <c r="A8" s="52"/>
      <c r="B8" s="57"/>
      <c r="C8" s="54"/>
      <c r="D8" s="55"/>
      <c r="E8" s="56"/>
      <c r="F8" s="56"/>
      <c r="G8" s="6"/>
      <c r="H8" s="7"/>
      <c r="I8" s="8" t="str">
        <f t="shared" si="0"/>
        <v/>
      </c>
    </row>
    <row r="9" spans="1:9">
      <c r="A9" s="52"/>
      <c r="B9" s="57"/>
      <c r="C9" s="54"/>
      <c r="D9" s="55"/>
      <c r="E9" s="56"/>
      <c r="F9" s="56"/>
      <c r="G9" s="6"/>
      <c r="H9" s="7"/>
      <c r="I9" s="8" t="str">
        <f t="shared" si="0"/>
        <v/>
      </c>
    </row>
    <row r="10" spans="1:9">
      <c r="A10" s="52"/>
      <c r="B10" s="57"/>
      <c r="C10" s="54"/>
      <c r="D10" s="55"/>
      <c r="E10" s="56"/>
      <c r="F10" s="56"/>
      <c r="G10" s="6"/>
      <c r="H10" s="7"/>
      <c r="I10" s="8" t="str">
        <f t="shared" si="0"/>
        <v/>
      </c>
    </row>
    <row r="11" spans="1:9">
      <c r="A11" s="52"/>
      <c r="B11" s="57"/>
      <c r="C11" s="54"/>
      <c r="D11" s="55"/>
      <c r="E11" s="56"/>
      <c r="F11" s="56"/>
      <c r="G11" s="6"/>
      <c r="H11" s="7"/>
      <c r="I11" s="8" t="str">
        <f t="shared" si="0"/>
        <v/>
      </c>
    </row>
    <row r="12" spans="1:9">
      <c r="A12" s="52"/>
      <c r="B12" s="57"/>
      <c r="C12" s="54"/>
      <c r="D12" s="55"/>
      <c r="E12" s="56"/>
      <c r="F12" s="56"/>
      <c r="G12" s="6"/>
      <c r="H12" s="7"/>
      <c r="I12" s="8" t="str">
        <f t="shared" si="0"/>
        <v/>
      </c>
    </row>
    <row r="13" spans="1:9">
      <c r="A13" s="52"/>
      <c r="B13" s="57"/>
      <c r="C13" s="54"/>
      <c r="D13" s="55"/>
      <c r="E13" s="56"/>
      <c r="F13" s="56"/>
      <c r="G13" s="6"/>
      <c r="H13" s="7"/>
      <c r="I13" s="8" t="str">
        <f t="shared" si="0"/>
        <v/>
      </c>
    </row>
    <row r="14" spans="1:9">
      <c r="A14" s="52"/>
      <c r="B14" s="57"/>
      <c r="C14" s="54"/>
      <c r="D14" s="55"/>
      <c r="E14" s="56"/>
      <c r="F14" s="56"/>
      <c r="G14" s="6"/>
      <c r="H14" s="7"/>
      <c r="I14" s="8" t="str">
        <f t="shared" si="0"/>
        <v/>
      </c>
    </row>
    <row r="15" spans="1:9">
      <c r="A15" s="52"/>
      <c r="B15" s="57"/>
      <c r="C15" s="54"/>
      <c r="D15" s="55"/>
      <c r="E15" s="56"/>
      <c r="F15" s="56"/>
      <c r="G15" s="6"/>
      <c r="H15" s="7"/>
      <c r="I15" s="8" t="str">
        <f t="shared" si="0"/>
        <v/>
      </c>
    </row>
    <row r="16" spans="1:9">
      <c r="A16" s="52"/>
      <c r="B16" s="57"/>
      <c r="C16" s="54"/>
      <c r="D16" s="55"/>
      <c r="E16" s="56"/>
      <c r="F16" s="56"/>
      <c r="G16" s="6"/>
      <c r="H16" s="7"/>
      <c r="I16" s="8" t="str">
        <f t="shared" si="0"/>
        <v/>
      </c>
    </row>
    <row r="17" spans="1:11">
      <c r="A17" s="52"/>
      <c r="B17" s="57"/>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16</v>
      </c>
      <c r="B19" s="5" t="s">
        <v>17</v>
      </c>
      <c r="C19" s="4" t="s">
        <v>18</v>
      </c>
      <c r="D19" s="16" t="s">
        <v>19</v>
      </c>
      <c r="E19" s="17" t="s">
        <v>20</v>
      </c>
      <c r="F19" s="16" t="s">
        <v>21</v>
      </c>
      <c r="G19" s="49" t="s">
        <v>22</v>
      </c>
      <c r="H19" s="49"/>
      <c r="I19" s="18"/>
    </row>
    <row r="20" spans="1:11">
      <c r="A20" s="19">
        <f>IF(B20&lt;2,"N/A",(STDEV(H3:H17)))</f>
        <v>16.751576239940185</v>
      </c>
      <c r="B20" s="19">
        <f>COUNT(H3:H17)</f>
        <v>5</v>
      </c>
      <c r="C20" s="20">
        <f>IF(B20&lt;2,"N/A",(A20/D20))</f>
        <v>0.57114136515309188</v>
      </c>
      <c r="D20" s="21">
        <f>ROUND(AVERAGE(H3:H17),2)</f>
        <v>29.33</v>
      </c>
      <c r="E20" s="22">
        <f>IFERROR(ROUND(IF(B20&lt;2,"N/A",(IF(C20&lt;=25%,"N/A",AVERAGE(I3:I17)))),2),"N/A")</f>
        <v>22.88</v>
      </c>
      <c r="F20" s="22">
        <f>ROUND(MEDIAN(H3:H17),2)</f>
        <v>22.37</v>
      </c>
      <c r="G20" s="23" t="str">
        <f>INDEX(G3:G17,MATCH(H20,H3:H17,0))</f>
        <v>SOBRAL-CHAVES E CARIMBOS LTDA</v>
      </c>
      <c r="H20" s="24">
        <f>MIN(H3:H17)</f>
        <v>13.369883029999999</v>
      </c>
      <c r="I20" s="18"/>
    </row>
    <row r="21" spans="1:11">
      <c r="A21" s="25"/>
      <c r="B21" s="18"/>
      <c r="C21" s="26"/>
      <c r="D21" s="26"/>
      <c r="E21" s="26"/>
      <c r="F21" s="26"/>
      <c r="G21" s="18"/>
      <c r="H21" s="27"/>
      <c r="I21" s="28"/>
      <c r="J21" s="28"/>
      <c r="K21" s="28"/>
    </row>
    <row r="22" spans="1:11">
      <c r="B22" s="25"/>
      <c r="C22" s="25"/>
      <c r="D22" s="50"/>
      <c r="E22" s="50"/>
      <c r="F22" s="30"/>
      <c r="G22" s="31" t="s">
        <v>23</v>
      </c>
      <c r="H22" s="32">
        <f>IF(C20&lt;=25%,D20,MIN(E20:F20))</f>
        <v>22.37</v>
      </c>
    </row>
    <row r="23" spans="1:11">
      <c r="B23" s="25"/>
      <c r="C23" s="25"/>
      <c r="D23" s="50"/>
      <c r="E23" s="50"/>
      <c r="F23" s="33"/>
      <c r="G23" s="4" t="s">
        <v>24</v>
      </c>
      <c r="H23" s="24">
        <f>ROUND(H22,2)*D3</f>
        <v>4474</v>
      </c>
    </row>
    <row r="24" spans="1:11">
      <c r="B24" s="29"/>
      <c r="C24" s="29"/>
      <c r="D24" s="18"/>
      <c r="E24" s="18"/>
    </row>
    <row r="26" spans="1:11" ht="12.75" customHeight="1">
      <c r="A26" s="47" t="s">
        <v>25</v>
      </c>
      <c r="B26" s="47"/>
      <c r="C26" s="47"/>
      <c r="D26" s="47"/>
      <c r="E26" s="47"/>
      <c r="F26" s="47"/>
      <c r="G26" s="47"/>
      <c r="H26" s="47"/>
      <c r="I26" s="47"/>
    </row>
    <row r="27" spans="1:11" ht="12.75" customHeight="1">
      <c r="A27" s="47" t="s">
        <v>26</v>
      </c>
      <c r="B27" s="47"/>
      <c r="C27" s="47"/>
      <c r="D27" s="47"/>
      <c r="E27" s="47"/>
      <c r="F27" s="47"/>
      <c r="G27" s="47"/>
      <c r="H27" s="47"/>
      <c r="I27" s="47"/>
    </row>
    <row r="28" spans="1:11" ht="12.75" customHeight="1">
      <c r="A28" s="47" t="s">
        <v>27</v>
      </c>
      <c r="B28" s="47"/>
      <c r="C28" s="47"/>
      <c r="D28" s="47"/>
      <c r="E28" s="47"/>
      <c r="F28" s="47"/>
      <c r="G28" s="47"/>
      <c r="H28" s="47"/>
      <c r="I28" s="47"/>
    </row>
    <row r="29" spans="1:11" ht="12.75" customHeight="1">
      <c r="A29" s="47" t="s">
        <v>28</v>
      </c>
      <c r="B29" s="47"/>
      <c r="C29" s="47"/>
      <c r="D29" s="47"/>
      <c r="E29" s="47"/>
      <c r="F29" s="47"/>
      <c r="G29" s="47"/>
      <c r="H29" s="47"/>
      <c r="I29" s="47"/>
    </row>
    <row r="30" spans="1:11" ht="12.75" customHeight="1">
      <c r="A30" s="47" t="s">
        <v>29</v>
      </c>
      <c r="B30" s="47"/>
      <c r="C30" s="47"/>
      <c r="D30" s="47"/>
      <c r="E30" s="47"/>
      <c r="F30" s="47"/>
      <c r="G30" s="47"/>
      <c r="H30" s="47"/>
      <c r="I30" s="47"/>
    </row>
    <row r="31" spans="1:11" ht="12.75" customHeight="1">
      <c r="A31" s="47" t="s">
        <v>30</v>
      </c>
      <c r="B31" s="47"/>
      <c r="C31" s="47"/>
      <c r="D31" s="47"/>
      <c r="E31" s="47"/>
      <c r="F31" s="47"/>
      <c r="G31" s="47"/>
      <c r="H31" s="47"/>
      <c r="I31" s="47"/>
    </row>
    <row r="32" spans="1:11" ht="24.75" customHeight="1">
      <c r="A32" s="48" t="s">
        <v>31</v>
      </c>
      <c r="B32" s="48"/>
      <c r="C32" s="48"/>
      <c r="D32" s="48"/>
      <c r="E32" s="48"/>
      <c r="F32" s="48"/>
      <c r="G32" s="48"/>
      <c r="H32" s="48"/>
      <c r="I32" s="48"/>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H13" sqref="H13"/>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51" t="s">
        <v>0</v>
      </c>
      <c r="B1" s="51"/>
      <c r="C1" s="51"/>
      <c r="D1" s="51"/>
      <c r="E1" s="51"/>
      <c r="F1" s="51"/>
      <c r="G1" s="51"/>
      <c r="H1" s="51"/>
      <c r="I1" s="51"/>
    </row>
    <row r="2" spans="1:9" ht="25.5">
      <c r="A2" s="52" t="s">
        <v>110</v>
      </c>
      <c r="B2" s="2" t="s">
        <v>2</v>
      </c>
      <c r="C2" s="2" t="s">
        <v>3</v>
      </c>
      <c r="D2" s="2" t="s">
        <v>4</v>
      </c>
      <c r="E2" s="3" t="s">
        <v>5</v>
      </c>
      <c r="F2" s="3" t="s">
        <v>6</v>
      </c>
      <c r="G2" s="2" t="s">
        <v>7</v>
      </c>
      <c r="H2" s="4" t="s">
        <v>8</v>
      </c>
      <c r="I2" s="5" t="s">
        <v>9</v>
      </c>
    </row>
    <row r="3" spans="1:9" ht="12.75" customHeight="1">
      <c r="A3" s="52"/>
      <c r="B3" s="57" t="s">
        <v>111</v>
      </c>
      <c r="C3" s="54" t="s">
        <v>41</v>
      </c>
      <c r="D3" s="55">
        <v>200</v>
      </c>
      <c r="E3" s="56">
        <f>IF(C20&lt;=25%,D20,MIN(E20:F20))</f>
        <v>18.920000000000002</v>
      </c>
      <c r="F3" s="56">
        <f>MIN(H3:H17)</f>
        <v>10.704469999999999</v>
      </c>
      <c r="G3" s="6" t="s">
        <v>112</v>
      </c>
      <c r="H3" s="7">
        <f>10*1.070447</f>
        <v>10.704469999999999</v>
      </c>
      <c r="I3" s="8">
        <f t="shared" ref="I3:I17" si="0">IF(H3="","",(IF($C$20&lt;25%,"N/A",IF(H3&lt;=($D$20+$A$20),H3,"Descartado"))))</f>
        <v>10.704469999999999</v>
      </c>
    </row>
    <row r="4" spans="1:9">
      <c r="A4" s="52"/>
      <c r="B4" s="57"/>
      <c r="C4" s="54"/>
      <c r="D4" s="55"/>
      <c r="E4" s="56"/>
      <c r="F4" s="56"/>
      <c r="G4" s="6" t="s">
        <v>113</v>
      </c>
      <c r="H4" s="7">
        <f>11.5*1.070447</f>
        <v>12.310140499999999</v>
      </c>
      <c r="I4" s="8">
        <f t="shared" si="0"/>
        <v>12.310140499999999</v>
      </c>
    </row>
    <row r="5" spans="1:9">
      <c r="A5" s="52"/>
      <c r="B5" s="57"/>
      <c r="C5" s="54"/>
      <c r="D5" s="55"/>
      <c r="E5" s="56"/>
      <c r="F5" s="56"/>
      <c r="G5" s="6" t="s">
        <v>114</v>
      </c>
      <c r="H5" s="7">
        <f>12.9*1.070447</f>
        <v>13.8087663</v>
      </c>
      <c r="I5" s="8">
        <f t="shared" si="0"/>
        <v>13.8087663</v>
      </c>
    </row>
    <row r="6" spans="1:9">
      <c r="A6" s="52"/>
      <c r="B6" s="57"/>
      <c r="C6" s="54"/>
      <c r="D6" s="55"/>
      <c r="E6" s="56"/>
      <c r="F6" s="56"/>
      <c r="G6" s="6" t="s">
        <v>115</v>
      </c>
      <c r="H6" s="7">
        <f>15.73*1.070447</f>
        <v>16.838131309999998</v>
      </c>
      <c r="I6" s="8">
        <f t="shared" si="0"/>
        <v>16.838131309999998</v>
      </c>
    </row>
    <row r="7" spans="1:9">
      <c r="A7" s="52"/>
      <c r="B7" s="57"/>
      <c r="C7" s="54"/>
      <c r="D7" s="55"/>
      <c r="E7" s="56"/>
      <c r="F7" s="56"/>
      <c r="G7" s="6" t="s">
        <v>106</v>
      </c>
      <c r="H7" s="7">
        <f>21*1.070447</f>
        <v>22.479386999999999</v>
      </c>
      <c r="I7" s="8">
        <f t="shared" si="0"/>
        <v>22.479386999999999</v>
      </c>
    </row>
    <row r="8" spans="1:9">
      <c r="A8" s="52"/>
      <c r="B8" s="57"/>
      <c r="C8" s="54"/>
      <c r="D8" s="55"/>
      <c r="E8" s="56"/>
      <c r="F8" s="56"/>
      <c r="G8" s="6" t="s">
        <v>116</v>
      </c>
      <c r="H8" s="7">
        <f>21.11*1.070447</f>
        <v>22.597136169999999</v>
      </c>
      <c r="I8" s="8">
        <f t="shared" si="0"/>
        <v>22.597136169999999</v>
      </c>
    </row>
    <row r="9" spans="1:9">
      <c r="A9" s="52"/>
      <c r="B9" s="57"/>
      <c r="C9" s="54"/>
      <c r="D9" s="55"/>
      <c r="E9" s="56"/>
      <c r="F9" s="56"/>
      <c r="G9" s="6" t="s">
        <v>117</v>
      </c>
      <c r="H9" s="7">
        <f>23.16*1.070447</f>
        <v>24.79155252</v>
      </c>
      <c r="I9" s="8">
        <f t="shared" si="0"/>
        <v>24.79155252</v>
      </c>
    </row>
    <row r="10" spans="1:9">
      <c r="A10" s="52"/>
      <c r="B10" s="57"/>
      <c r="C10" s="54"/>
      <c r="D10" s="55"/>
      <c r="E10" s="56"/>
      <c r="F10" s="56"/>
      <c r="G10" s="6" t="s">
        <v>118</v>
      </c>
      <c r="H10" s="7">
        <f>26*1.070447</f>
        <v>27.831621999999999</v>
      </c>
      <c r="I10" s="8">
        <f t="shared" si="0"/>
        <v>27.831621999999999</v>
      </c>
    </row>
    <row r="11" spans="1:9">
      <c r="A11" s="52"/>
      <c r="B11" s="57"/>
      <c r="C11" s="54"/>
      <c r="D11" s="55"/>
      <c r="E11" s="56"/>
      <c r="F11" s="56"/>
      <c r="G11" s="6" t="s">
        <v>119</v>
      </c>
      <c r="H11" s="7">
        <f>53.4*1.070447</f>
        <v>57.161869799999998</v>
      </c>
      <c r="I11" s="8" t="str">
        <f t="shared" si="0"/>
        <v>Descartado</v>
      </c>
    </row>
    <row r="12" spans="1:9">
      <c r="A12" s="52"/>
      <c r="B12" s="57"/>
      <c r="C12" s="54"/>
      <c r="D12" s="55"/>
      <c r="E12" s="56"/>
      <c r="F12" s="56"/>
      <c r="G12" s="6" t="s">
        <v>120</v>
      </c>
      <c r="H12" s="7">
        <f>64*1.070447</f>
        <v>68.508607999999995</v>
      </c>
      <c r="I12" s="8" t="str">
        <f t="shared" si="0"/>
        <v>Descartado</v>
      </c>
    </row>
    <row r="13" spans="1:9">
      <c r="A13" s="52"/>
      <c r="B13" s="57"/>
      <c r="C13" s="54"/>
      <c r="D13" s="55"/>
      <c r="E13" s="56"/>
      <c r="F13" s="56"/>
      <c r="G13" s="6"/>
      <c r="H13" s="7"/>
      <c r="I13" s="8" t="str">
        <f t="shared" si="0"/>
        <v/>
      </c>
    </row>
    <row r="14" spans="1:9">
      <c r="A14" s="52"/>
      <c r="B14" s="57"/>
      <c r="C14" s="54"/>
      <c r="D14" s="55"/>
      <c r="E14" s="56"/>
      <c r="F14" s="56"/>
      <c r="G14" s="6"/>
      <c r="H14" s="7"/>
      <c r="I14" s="8" t="str">
        <f t="shared" si="0"/>
        <v/>
      </c>
    </row>
    <row r="15" spans="1:9">
      <c r="A15" s="52"/>
      <c r="B15" s="57"/>
      <c r="C15" s="54"/>
      <c r="D15" s="55"/>
      <c r="E15" s="56"/>
      <c r="F15" s="56"/>
      <c r="G15" s="6"/>
      <c r="H15" s="7"/>
      <c r="I15" s="8" t="str">
        <f t="shared" si="0"/>
        <v/>
      </c>
    </row>
    <row r="16" spans="1:9">
      <c r="A16" s="52"/>
      <c r="B16" s="57"/>
      <c r="C16" s="54"/>
      <c r="D16" s="55"/>
      <c r="E16" s="56"/>
      <c r="F16" s="56"/>
      <c r="G16" s="6"/>
      <c r="H16" s="7"/>
      <c r="I16" s="8" t="str">
        <f t="shared" si="0"/>
        <v/>
      </c>
    </row>
    <row r="17" spans="1:11">
      <c r="A17" s="52"/>
      <c r="B17" s="57"/>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16</v>
      </c>
      <c r="B19" s="5" t="s">
        <v>17</v>
      </c>
      <c r="C19" s="4" t="s">
        <v>18</v>
      </c>
      <c r="D19" s="16" t="s">
        <v>19</v>
      </c>
      <c r="E19" s="17" t="s">
        <v>20</v>
      </c>
      <c r="F19" s="16" t="s">
        <v>21</v>
      </c>
      <c r="G19" s="49" t="s">
        <v>22</v>
      </c>
      <c r="H19" s="49"/>
      <c r="I19" s="18"/>
    </row>
    <row r="20" spans="1:11">
      <c r="A20" s="19">
        <f>IF(B20&lt;2,"N/A",(STDEV(H3:H17)))</f>
        <v>19.527066542054207</v>
      </c>
      <c r="B20" s="19">
        <f>COUNT(H3:H17)</f>
        <v>10</v>
      </c>
      <c r="C20" s="20">
        <f>IF(B20&lt;2,"N/A",(A20/D20))</f>
        <v>0.70494825061567534</v>
      </c>
      <c r="D20" s="21">
        <f>ROUND(AVERAGE(H3:H17),2)</f>
        <v>27.7</v>
      </c>
      <c r="E20" s="22">
        <f>IFERROR(ROUND(IF(B20&lt;2,"N/A",(IF(C20&lt;=25%,"N/A",AVERAGE(I3:I17)))),2),"N/A")</f>
        <v>18.920000000000002</v>
      </c>
      <c r="F20" s="22">
        <f>ROUND(MEDIAN(H3:H17),2)</f>
        <v>22.54</v>
      </c>
      <c r="G20" s="23" t="str">
        <f>INDEX(G3:G17,MATCH(H20,H3:H17,0))</f>
        <v>M G ALVARENGA LTDA</v>
      </c>
      <c r="H20" s="24">
        <f>MIN(H3:H17)</f>
        <v>10.704469999999999</v>
      </c>
      <c r="I20" s="18"/>
    </row>
    <row r="21" spans="1:11">
      <c r="A21" s="25"/>
      <c r="B21" s="18"/>
      <c r="C21" s="26"/>
      <c r="D21" s="26"/>
      <c r="E21" s="26"/>
      <c r="F21" s="26"/>
      <c r="G21" s="18"/>
      <c r="H21" s="27"/>
      <c r="I21" s="28"/>
      <c r="J21" s="28"/>
      <c r="K21" s="28"/>
    </row>
    <row r="22" spans="1:11">
      <c r="B22" s="25"/>
      <c r="C22" s="25"/>
      <c r="D22" s="50"/>
      <c r="E22" s="50"/>
      <c r="F22" s="30"/>
      <c r="G22" s="31" t="s">
        <v>23</v>
      </c>
      <c r="H22" s="32">
        <f>IF(C20&lt;=25%,D20,MIN(E20:F20))</f>
        <v>18.920000000000002</v>
      </c>
    </row>
    <row r="23" spans="1:11">
      <c r="B23" s="25"/>
      <c r="C23" s="25"/>
      <c r="D23" s="50"/>
      <c r="E23" s="50"/>
      <c r="F23" s="33"/>
      <c r="G23" s="4" t="s">
        <v>24</v>
      </c>
      <c r="H23" s="24">
        <f>ROUND(H22,2)*D3</f>
        <v>3784.0000000000005</v>
      </c>
    </row>
    <row r="24" spans="1:11">
      <c r="B24" s="29"/>
      <c r="C24" s="29"/>
      <c r="D24" s="18"/>
      <c r="E24" s="18"/>
    </row>
    <row r="26" spans="1:11" ht="12.75" customHeight="1">
      <c r="A26" s="47" t="s">
        <v>25</v>
      </c>
      <c r="B26" s="47"/>
      <c r="C26" s="47"/>
      <c r="D26" s="47"/>
      <c r="E26" s="47"/>
      <c r="F26" s="47"/>
      <c r="G26" s="47"/>
      <c r="H26" s="47"/>
      <c r="I26" s="47"/>
    </row>
    <row r="27" spans="1:11" ht="12.75" customHeight="1">
      <c r="A27" s="47" t="s">
        <v>26</v>
      </c>
      <c r="B27" s="47"/>
      <c r="C27" s="47"/>
      <c r="D27" s="47"/>
      <c r="E27" s="47"/>
      <c r="F27" s="47"/>
      <c r="G27" s="47"/>
      <c r="H27" s="47"/>
      <c r="I27" s="47"/>
    </row>
    <row r="28" spans="1:11" ht="12.75" customHeight="1">
      <c r="A28" s="47" t="s">
        <v>27</v>
      </c>
      <c r="B28" s="47"/>
      <c r="C28" s="47"/>
      <c r="D28" s="47"/>
      <c r="E28" s="47"/>
      <c r="F28" s="47"/>
      <c r="G28" s="47"/>
      <c r="H28" s="47"/>
      <c r="I28" s="47"/>
    </row>
    <row r="29" spans="1:11" ht="12.75" customHeight="1">
      <c r="A29" s="47" t="s">
        <v>28</v>
      </c>
      <c r="B29" s="47"/>
      <c r="C29" s="47"/>
      <c r="D29" s="47"/>
      <c r="E29" s="47"/>
      <c r="F29" s="47"/>
      <c r="G29" s="47"/>
      <c r="H29" s="47"/>
      <c r="I29" s="47"/>
    </row>
    <row r="30" spans="1:11" ht="12.75" customHeight="1">
      <c r="A30" s="47" t="s">
        <v>29</v>
      </c>
      <c r="B30" s="47"/>
      <c r="C30" s="47"/>
      <c r="D30" s="47"/>
      <c r="E30" s="47"/>
      <c r="F30" s="47"/>
      <c r="G30" s="47"/>
      <c r="H30" s="47"/>
      <c r="I30" s="47"/>
    </row>
    <row r="31" spans="1:11" ht="12.75" customHeight="1">
      <c r="A31" s="47" t="s">
        <v>30</v>
      </c>
      <c r="B31" s="47"/>
      <c r="C31" s="47"/>
      <c r="D31" s="47"/>
      <c r="E31" s="47"/>
      <c r="F31" s="47"/>
      <c r="G31" s="47"/>
      <c r="H31" s="47"/>
      <c r="I31" s="47"/>
    </row>
    <row r="32" spans="1:11" ht="24.75" customHeight="1">
      <c r="A32" s="48" t="s">
        <v>31</v>
      </c>
      <c r="B32" s="48"/>
      <c r="C32" s="48"/>
      <c r="D32" s="48"/>
      <c r="E32" s="48"/>
      <c r="F32" s="48"/>
      <c r="G32" s="48"/>
      <c r="H32" s="48"/>
      <c r="I32" s="48"/>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H7" sqref="H7"/>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51" t="s">
        <v>0</v>
      </c>
      <c r="B1" s="51"/>
      <c r="C1" s="51"/>
      <c r="D1" s="51"/>
      <c r="E1" s="51"/>
      <c r="F1" s="51"/>
      <c r="G1" s="51"/>
      <c r="H1" s="51"/>
      <c r="I1" s="51"/>
    </row>
    <row r="2" spans="1:9" ht="25.5">
      <c r="A2" s="52" t="s">
        <v>121</v>
      </c>
      <c r="B2" s="2" t="s">
        <v>2</v>
      </c>
      <c r="C2" s="2" t="s">
        <v>3</v>
      </c>
      <c r="D2" s="2" t="s">
        <v>4</v>
      </c>
      <c r="E2" s="3" t="s">
        <v>5</v>
      </c>
      <c r="F2" s="3" t="s">
        <v>6</v>
      </c>
      <c r="G2" s="2" t="s">
        <v>7</v>
      </c>
      <c r="H2" s="4" t="s">
        <v>8</v>
      </c>
      <c r="I2" s="5" t="s">
        <v>9</v>
      </c>
    </row>
    <row r="3" spans="1:9" ht="12.75" customHeight="1">
      <c r="A3" s="52"/>
      <c r="B3" s="57" t="s">
        <v>122</v>
      </c>
      <c r="C3" s="54" t="s">
        <v>41</v>
      </c>
      <c r="D3" s="55">
        <v>600</v>
      </c>
      <c r="E3" s="56">
        <f>IF(C20&lt;=25%,D20,MIN(E20:F20))</f>
        <v>64.209999999999994</v>
      </c>
      <c r="F3" s="56">
        <f>MIN(H3:H17)</f>
        <v>54.1646182</v>
      </c>
      <c r="G3" s="6" t="s">
        <v>123</v>
      </c>
      <c r="H3" s="7">
        <f>50.6*1.070447</f>
        <v>54.1646182</v>
      </c>
      <c r="I3" s="8" t="str">
        <f t="shared" ref="I3:I17" si="0">IF(H3="","",(IF($C$20&lt;25%,"N/A",IF(H3&lt;=($D$20+$A$20),H3,"Descartado"))))</f>
        <v>N/A</v>
      </c>
    </row>
    <row r="4" spans="1:9">
      <c r="A4" s="52"/>
      <c r="B4" s="57"/>
      <c r="C4" s="54"/>
      <c r="D4" s="55"/>
      <c r="E4" s="56"/>
      <c r="F4" s="56"/>
      <c r="G4" s="6" t="s">
        <v>124</v>
      </c>
      <c r="H4" s="7">
        <f>60*1.070447</f>
        <v>64.226819999999989</v>
      </c>
      <c r="I4" s="8" t="str">
        <f t="shared" si="0"/>
        <v>N/A</v>
      </c>
    </row>
    <row r="5" spans="1:9">
      <c r="A5" s="52"/>
      <c r="B5" s="57"/>
      <c r="C5" s="54"/>
      <c r="D5" s="55"/>
      <c r="E5" s="56"/>
      <c r="F5" s="56"/>
      <c r="G5" s="6" t="s">
        <v>125</v>
      </c>
      <c r="H5" s="7">
        <f>60.35*1.070447</f>
        <v>64.601476449999993</v>
      </c>
      <c r="I5" s="8" t="str">
        <f t="shared" si="0"/>
        <v>N/A</v>
      </c>
    </row>
    <row r="6" spans="1:9">
      <c r="A6" s="52"/>
      <c r="B6" s="57"/>
      <c r="C6" s="54"/>
      <c r="D6" s="55"/>
      <c r="E6" s="56"/>
      <c r="F6" s="56"/>
      <c r="G6" s="6" t="s">
        <v>126</v>
      </c>
      <c r="H6" s="7">
        <f>69*1.070447</f>
        <v>73.860842999999988</v>
      </c>
      <c r="I6" s="8" t="str">
        <f t="shared" si="0"/>
        <v>N/A</v>
      </c>
    </row>
    <row r="7" spans="1:9">
      <c r="A7" s="52"/>
      <c r="B7" s="57"/>
      <c r="C7" s="54"/>
      <c r="D7" s="55"/>
      <c r="E7" s="56"/>
      <c r="F7" s="56"/>
      <c r="G7" s="6"/>
      <c r="H7" s="7"/>
      <c r="I7" s="8" t="str">
        <f t="shared" si="0"/>
        <v/>
      </c>
    </row>
    <row r="8" spans="1:9">
      <c r="A8" s="52"/>
      <c r="B8" s="57"/>
      <c r="C8" s="54"/>
      <c r="D8" s="55"/>
      <c r="E8" s="56"/>
      <c r="F8" s="56"/>
      <c r="G8" s="6"/>
      <c r="H8" s="7"/>
      <c r="I8" s="8" t="str">
        <f t="shared" si="0"/>
        <v/>
      </c>
    </row>
    <row r="9" spans="1:9">
      <c r="A9" s="52"/>
      <c r="B9" s="57"/>
      <c r="C9" s="54"/>
      <c r="D9" s="55"/>
      <c r="E9" s="56"/>
      <c r="F9" s="56"/>
      <c r="G9" s="6"/>
      <c r="H9" s="7"/>
      <c r="I9" s="8" t="str">
        <f t="shared" si="0"/>
        <v/>
      </c>
    </row>
    <row r="10" spans="1:9">
      <c r="A10" s="52"/>
      <c r="B10" s="57"/>
      <c r="C10" s="54"/>
      <c r="D10" s="55"/>
      <c r="E10" s="56"/>
      <c r="F10" s="56"/>
      <c r="G10" s="6"/>
      <c r="H10" s="7"/>
      <c r="I10" s="8" t="str">
        <f t="shared" si="0"/>
        <v/>
      </c>
    </row>
    <row r="11" spans="1:9">
      <c r="A11" s="52"/>
      <c r="B11" s="57"/>
      <c r="C11" s="54"/>
      <c r="D11" s="55"/>
      <c r="E11" s="56"/>
      <c r="F11" s="56"/>
      <c r="G11" s="6"/>
      <c r="H11" s="7"/>
      <c r="I11" s="8" t="str">
        <f t="shared" si="0"/>
        <v/>
      </c>
    </row>
    <row r="12" spans="1:9">
      <c r="A12" s="52"/>
      <c r="B12" s="57"/>
      <c r="C12" s="54"/>
      <c r="D12" s="55"/>
      <c r="E12" s="56"/>
      <c r="F12" s="56"/>
      <c r="G12" s="6"/>
      <c r="H12" s="7"/>
      <c r="I12" s="8" t="str">
        <f t="shared" si="0"/>
        <v/>
      </c>
    </row>
    <row r="13" spans="1:9">
      <c r="A13" s="52"/>
      <c r="B13" s="57"/>
      <c r="C13" s="54"/>
      <c r="D13" s="55"/>
      <c r="E13" s="56"/>
      <c r="F13" s="56"/>
      <c r="G13" s="6"/>
      <c r="H13" s="7"/>
      <c r="I13" s="8" t="str">
        <f t="shared" si="0"/>
        <v/>
      </c>
    </row>
    <row r="14" spans="1:9">
      <c r="A14" s="52"/>
      <c r="B14" s="57"/>
      <c r="C14" s="54"/>
      <c r="D14" s="55"/>
      <c r="E14" s="56"/>
      <c r="F14" s="56"/>
      <c r="G14" s="6"/>
      <c r="H14" s="7"/>
      <c r="I14" s="8" t="str">
        <f t="shared" si="0"/>
        <v/>
      </c>
    </row>
    <row r="15" spans="1:9">
      <c r="A15" s="52"/>
      <c r="B15" s="57"/>
      <c r="C15" s="54"/>
      <c r="D15" s="55"/>
      <c r="E15" s="56"/>
      <c r="F15" s="56"/>
      <c r="G15" s="6"/>
      <c r="H15" s="7"/>
      <c r="I15" s="8" t="str">
        <f t="shared" si="0"/>
        <v/>
      </c>
    </row>
    <row r="16" spans="1:9">
      <c r="A16" s="52"/>
      <c r="B16" s="57"/>
      <c r="C16" s="54"/>
      <c r="D16" s="55"/>
      <c r="E16" s="56"/>
      <c r="F16" s="56"/>
      <c r="G16" s="6"/>
      <c r="H16" s="7"/>
      <c r="I16" s="8" t="str">
        <f t="shared" si="0"/>
        <v/>
      </c>
    </row>
    <row r="17" spans="1:11">
      <c r="A17" s="52"/>
      <c r="B17" s="57"/>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16</v>
      </c>
      <c r="B19" s="5" t="s">
        <v>17</v>
      </c>
      <c r="C19" s="4" t="s">
        <v>18</v>
      </c>
      <c r="D19" s="16" t="s">
        <v>19</v>
      </c>
      <c r="E19" s="17" t="s">
        <v>20</v>
      </c>
      <c r="F19" s="16" t="s">
        <v>21</v>
      </c>
      <c r="G19" s="49" t="s">
        <v>22</v>
      </c>
      <c r="H19" s="49"/>
      <c r="I19" s="18"/>
    </row>
    <row r="20" spans="1:11">
      <c r="A20" s="19">
        <f>IF(B20&lt;2,"N/A",(STDEV(H3:H17)))</f>
        <v>8.0457432953392836</v>
      </c>
      <c r="B20" s="19">
        <f>COUNT(H3:H17)</f>
        <v>4</v>
      </c>
      <c r="C20" s="20">
        <f>IF(B20&lt;2,"N/A",(A20/D20))</f>
        <v>0.12530358659615767</v>
      </c>
      <c r="D20" s="21">
        <f>ROUND(AVERAGE(H3:H17),2)</f>
        <v>64.209999999999994</v>
      </c>
      <c r="E20" s="22" t="str">
        <f>IFERROR(ROUND(IF(B20&lt;2,"N/A",(IF(C20&lt;=25%,"N/A",AVERAGE(I3:I17)))),2),"N/A")</f>
        <v>N/A</v>
      </c>
      <c r="F20" s="22">
        <f>ROUND(MEDIAN(H3:H17),2)</f>
        <v>64.41</v>
      </c>
      <c r="G20" s="23" t="str">
        <f>INDEX(G3:G17,MATCH(H20,H3:H17,0))</f>
        <v>GLOBAL VISION PACK BRASIL LTDA</v>
      </c>
      <c r="H20" s="24">
        <f>MIN(H3:H17)</f>
        <v>54.1646182</v>
      </c>
      <c r="I20" s="18"/>
    </row>
    <row r="21" spans="1:11">
      <c r="A21" s="25"/>
      <c r="B21" s="18"/>
      <c r="C21" s="26"/>
      <c r="D21" s="26"/>
      <c r="E21" s="26"/>
      <c r="F21" s="26"/>
      <c r="G21" s="18"/>
      <c r="H21" s="27"/>
      <c r="I21" s="28"/>
      <c r="J21" s="28"/>
      <c r="K21" s="28"/>
    </row>
    <row r="22" spans="1:11">
      <c r="B22" s="25"/>
      <c r="C22" s="25"/>
      <c r="D22" s="50"/>
      <c r="E22" s="50"/>
      <c r="F22" s="30"/>
      <c r="G22" s="31" t="s">
        <v>23</v>
      </c>
      <c r="H22" s="32">
        <f>IF(C20&lt;=25%,D20,MIN(E20:F20))</f>
        <v>64.209999999999994</v>
      </c>
    </row>
    <row r="23" spans="1:11">
      <c r="B23" s="25"/>
      <c r="C23" s="25"/>
      <c r="D23" s="50"/>
      <c r="E23" s="50"/>
      <c r="F23" s="33"/>
      <c r="G23" s="4" t="s">
        <v>24</v>
      </c>
      <c r="H23" s="24">
        <f>ROUND(H22,2)*D3</f>
        <v>38525.999999999993</v>
      </c>
    </row>
    <row r="24" spans="1:11">
      <c r="B24" s="29"/>
      <c r="C24" s="29"/>
      <c r="D24" s="18"/>
      <c r="E24" s="18"/>
    </row>
    <row r="26" spans="1:11" ht="12.75" customHeight="1">
      <c r="A26" s="47" t="s">
        <v>25</v>
      </c>
      <c r="B26" s="47"/>
      <c r="C26" s="47"/>
      <c r="D26" s="47"/>
      <c r="E26" s="47"/>
      <c r="F26" s="47"/>
      <c r="G26" s="47"/>
      <c r="H26" s="47"/>
      <c r="I26" s="47"/>
    </row>
    <row r="27" spans="1:11" ht="12.75" customHeight="1">
      <c r="A27" s="47" t="s">
        <v>26</v>
      </c>
      <c r="B27" s="47"/>
      <c r="C27" s="47"/>
      <c r="D27" s="47"/>
      <c r="E27" s="47"/>
      <c r="F27" s="47"/>
      <c r="G27" s="47"/>
      <c r="H27" s="47"/>
      <c r="I27" s="47"/>
    </row>
    <row r="28" spans="1:11" ht="12.75" customHeight="1">
      <c r="A28" s="47" t="s">
        <v>27</v>
      </c>
      <c r="B28" s="47"/>
      <c r="C28" s="47"/>
      <c r="D28" s="47"/>
      <c r="E28" s="47"/>
      <c r="F28" s="47"/>
      <c r="G28" s="47"/>
      <c r="H28" s="47"/>
      <c r="I28" s="47"/>
    </row>
    <row r="29" spans="1:11" ht="12.75" customHeight="1">
      <c r="A29" s="47" t="s">
        <v>28</v>
      </c>
      <c r="B29" s="47"/>
      <c r="C29" s="47"/>
      <c r="D29" s="47"/>
      <c r="E29" s="47"/>
      <c r="F29" s="47"/>
      <c r="G29" s="47"/>
      <c r="H29" s="47"/>
      <c r="I29" s="47"/>
    </row>
    <row r="30" spans="1:11" ht="12.75" customHeight="1">
      <c r="A30" s="47" t="s">
        <v>29</v>
      </c>
      <c r="B30" s="47"/>
      <c r="C30" s="47"/>
      <c r="D30" s="47"/>
      <c r="E30" s="47"/>
      <c r="F30" s="47"/>
      <c r="G30" s="47"/>
      <c r="H30" s="47"/>
      <c r="I30" s="47"/>
    </row>
    <row r="31" spans="1:11" ht="12.75" customHeight="1">
      <c r="A31" s="47" t="s">
        <v>30</v>
      </c>
      <c r="B31" s="47"/>
      <c r="C31" s="47"/>
      <c r="D31" s="47"/>
      <c r="E31" s="47"/>
      <c r="F31" s="47"/>
      <c r="G31" s="47"/>
      <c r="H31" s="47"/>
      <c r="I31" s="47"/>
    </row>
    <row r="32" spans="1:11" ht="24.75" customHeight="1">
      <c r="A32" s="48" t="s">
        <v>31</v>
      </c>
      <c r="B32" s="48"/>
      <c r="C32" s="48"/>
      <c r="D32" s="48"/>
      <c r="E32" s="48"/>
      <c r="F32" s="48"/>
      <c r="G32" s="48"/>
      <c r="H32" s="48"/>
      <c r="I32" s="48"/>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H4" sqref="H4"/>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51" t="s">
        <v>0</v>
      </c>
      <c r="B1" s="51"/>
      <c r="C1" s="51"/>
      <c r="D1" s="51"/>
      <c r="E1" s="51"/>
      <c r="F1" s="51"/>
      <c r="G1" s="51"/>
      <c r="H1" s="51"/>
      <c r="I1" s="51"/>
    </row>
    <row r="2" spans="1:9" ht="25.5">
      <c r="A2" s="52" t="s">
        <v>127</v>
      </c>
      <c r="B2" s="2" t="s">
        <v>2</v>
      </c>
      <c r="C2" s="2" t="s">
        <v>3</v>
      </c>
      <c r="D2" s="2" t="s">
        <v>4</v>
      </c>
      <c r="E2" s="3" t="s">
        <v>5</v>
      </c>
      <c r="F2" s="3" t="s">
        <v>6</v>
      </c>
      <c r="G2" s="2" t="s">
        <v>7</v>
      </c>
      <c r="H2" s="4" t="s">
        <v>8</v>
      </c>
      <c r="I2" s="5" t="s">
        <v>9</v>
      </c>
    </row>
    <row r="3" spans="1:9" ht="12.75" customHeight="1">
      <c r="A3" s="52"/>
      <c r="B3" s="57" t="s">
        <v>128</v>
      </c>
      <c r="C3" s="54" t="s">
        <v>41</v>
      </c>
      <c r="D3" s="55">
        <f>400*0.25</f>
        <v>100</v>
      </c>
      <c r="E3" s="56">
        <f>IF(C20&lt;=25%,D20,MIN(E20:F20))</f>
        <v>227.56</v>
      </c>
      <c r="F3" s="56">
        <f>MIN(H3:H17)</f>
        <v>227.55562326</v>
      </c>
      <c r="G3" s="6" t="s">
        <v>129</v>
      </c>
      <c r="H3" s="7">
        <f>212.58*1.070447</f>
        <v>227.55562326</v>
      </c>
      <c r="I3" s="8" t="e">
        <f t="shared" ref="I3:I17" si="0">IF(H3="","",(IF($C$20&lt;25%,"N/A",IF(H3&lt;=($D$20+$A$20),H3,"Descartado"))))</f>
        <v>#VALUE!</v>
      </c>
    </row>
    <row r="4" spans="1:9">
      <c r="A4" s="52"/>
      <c r="B4" s="57"/>
      <c r="C4" s="54"/>
      <c r="D4" s="55"/>
      <c r="E4" s="56"/>
      <c r="F4" s="56"/>
      <c r="G4" s="6"/>
      <c r="H4" s="7"/>
      <c r="I4" s="8" t="str">
        <f t="shared" si="0"/>
        <v/>
      </c>
    </row>
    <row r="5" spans="1:9">
      <c r="A5" s="52"/>
      <c r="B5" s="57"/>
      <c r="C5" s="54"/>
      <c r="D5" s="55"/>
      <c r="E5" s="56"/>
      <c r="F5" s="56"/>
      <c r="G5" s="6"/>
      <c r="H5" s="7"/>
      <c r="I5" s="8" t="str">
        <f t="shared" si="0"/>
        <v/>
      </c>
    </row>
    <row r="6" spans="1:9">
      <c r="A6" s="52"/>
      <c r="B6" s="57"/>
      <c r="C6" s="54"/>
      <c r="D6" s="55"/>
      <c r="E6" s="56"/>
      <c r="F6" s="56"/>
      <c r="G6" s="6"/>
      <c r="H6" s="7"/>
      <c r="I6" s="8" t="str">
        <f t="shared" si="0"/>
        <v/>
      </c>
    </row>
    <row r="7" spans="1:9">
      <c r="A7" s="52"/>
      <c r="B7" s="57"/>
      <c r="C7" s="54"/>
      <c r="D7" s="55"/>
      <c r="E7" s="56"/>
      <c r="F7" s="56"/>
      <c r="G7" s="6"/>
      <c r="H7" s="7"/>
      <c r="I7" s="8" t="str">
        <f t="shared" si="0"/>
        <v/>
      </c>
    </row>
    <row r="8" spans="1:9">
      <c r="A8" s="52"/>
      <c r="B8" s="57"/>
      <c r="C8" s="54"/>
      <c r="D8" s="55"/>
      <c r="E8" s="56"/>
      <c r="F8" s="56"/>
      <c r="G8" s="6"/>
      <c r="H8" s="7"/>
      <c r="I8" s="8" t="str">
        <f t="shared" si="0"/>
        <v/>
      </c>
    </row>
    <row r="9" spans="1:9">
      <c r="A9" s="52"/>
      <c r="B9" s="57"/>
      <c r="C9" s="54"/>
      <c r="D9" s="55"/>
      <c r="E9" s="56"/>
      <c r="F9" s="56"/>
      <c r="G9" s="6"/>
      <c r="H9" s="7"/>
      <c r="I9" s="8" t="str">
        <f t="shared" si="0"/>
        <v/>
      </c>
    </row>
    <row r="10" spans="1:9">
      <c r="A10" s="52"/>
      <c r="B10" s="57"/>
      <c r="C10" s="54"/>
      <c r="D10" s="55"/>
      <c r="E10" s="56"/>
      <c r="F10" s="56"/>
      <c r="G10" s="6"/>
      <c r="H10" s="7"/>
      <c r="I10" s="8" t="str">
        <f t="shared" si="0"/>
        <v/>
      </c>
    </row>
    <row r="11" spans="1:9">
      <c r="A11" s="52"/>
      <c r="B11" s="57"/>
      <c r="C11" s="54"/>
      <c r="D11" s="55"/>
      <c r="E11" s="56"/>
      <c r="F11" s="56"/>
      <c r="G11" s="6"/>
      <c r="H11" s="7"/>
      <c r="I11" s="8" t="str">
        <f t="shared" si="0"/>
        <v/>
      </c>
    </row>
    <row r="12" spans="1:9">
      <c r="A12" s="52"/>
      <c r="B12" s="57"/>
      <c r="C12" s="54"/>
      <c r="D12" s="55"/>
      <c r="E12" s="56"/>
      <c r="F12" s="56"/>
      <c r="G12" s="6"/>
      <c r="H12" s="7"/>
      <c r="I12" s="8" t="str">
        <f t="shared" si="0"/>
        <v/>
      </c>
    </row>
    <row r="13" spans="1:9">
      <c r="A13" s="52"/>
      <c r="B13" s="57"/>
      <c r="C13" s="54"/>
      <c r="D13" s="55"/>
      <c r="E13" s="56"/>
      <c r="F13" s="56"/>
      <c r="G13" s="6"/>
      <c r="H13" s="7"/>
      <c r="I13" s="8" t="str">
        <f t="shared" si="0"/>
        <v/>
      </c>
    </row>
    <row r="14" spans="1:9">
      <c r="A14" s="52"/>
      <c r="B14" s="57"/>
      <c r="C14" s="54"/>
      <c r="D14" s="55"/>
      <c r="E14" s="56"/>
      <c r="F14" s="56"/>
      <c r="G14" s="6"/>
      <c r="H14" s="7"/>
      <c r="I14" s="8" t="str">
        <f t="shared" si="0"/>
        <v/>
      </c>
    </row>
    <row r="15" spans="1:9">
      <c r="A15" s="52"/>
      <c r="B15" s="57"/>
      <c r="C15" s="54"/>
      <c r="D15" s="55"/>
      <c r="E15" s="56"/>
      <c r="F15" s="56"/>
      <c r="G15" s="6"/>
      <c r="H15" s="7"/>
      <c r="I15" s="8" t="str">
        <f t="shared" si="0"/>
        <v/>
      </c>
    </row>
    <row r="16" spans="1:9">
      <c r="A16" s="52"/>
      <c r="B16" s="57"/>
      <c r="C16" s="54"/>
      <c r="D16" s="55"/>
      <c r="E16" s="56"/>
      <c r="F16" s="56"/>
      <c r="G16" s="6"/>
      <c r="H16" s="7"/>
      <c r="I16" s="8" t="str">
        <f t="shared" si="0"/>
        <v/>
      </c>
    </row>
    <row r="17" spans="1:11">
      <c r="A17" s="52"/>
      <c r="B17" s="57"/>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16</v>
      </c>
      <c r="B19" s="5" t="s">
        <v>17</v>
      </c>
      <c r="C19" s="4" t="s">
        <v>18</v>
      </c>
      <c r="D19" s="16" t="s">
        <v>19</v>
      </c>
      <c r="E19" s="17" t="s">
        <v>20</v>
      </c>
      <c r="F19" s="16" t="s">
        <v>21</v>
      </c>
      <c r="G19" s="49" t="s">
        <v>22</v>
      </c>
      <c r="H19" s="49"/>
      <c r="I19" s="18"/>
    </row>
    <row r="20" spans="1:11">
      <c r="A20" s="19" t="str">
        <f>IF(B20&lt;2,"N/A",(STDEV(H3:H17)))</f>
        <v>N/A</v>
      </c>
      <c r="B20" s="19">
        <f>COUNT(H3:H17)</f>
        <v>1</v>
      </c>
      <c r="C20" s="20" t="str">
        <f>IF(B20&lt;2,"N/A",(A20/D20))</f>
        <v>N/A</v>
      </c>
      <c r="D20" s="21">
        <f>ROUND(AVERAGE(H3:H17),2)</f>
        <v>227.56</v>
      </c>
      <c r="E20" s="22" t="str">
        <f>IFERROR(ROUND(IF(B20&lt;2,"N/A",(IF(C20&lt;=25%,"N/A",AVERAGE(I3:I17)))),2),"N/A")</f>
        <v>N/A</v>
      </c>
      <c r="F20" s="22">
        <f>ROUND(MEDIAN(H3:H17),2)</f>
        <v>227.56</v>
      </c>
      <c r="G20" s="23" t="str">
        <f>INDEX(G3:G17,MATCH(H20,H3:H17,0))</f>
        <v>FABRICIO RACHADEL COSTA</v>
      </c>
      <c r="H20" s="24">
        <f>MIN(H3:H17)</f>
        <v>227.55562326</v>
      </c>
      <c r="I20" s="18"/>
    </row>
    <row r="21" spans="1:11">
      <c r="A21" s="25"/>
      <c r="B21" s="18"/>
      <c r="C21" s="26"/>
      <c r="D21" s="26"/>
      <c r="E21" s="26"/>
      <c r="F21" s="26"/>
      <c r="G21" s="18"/>
      <c r="H21" s="27"/>
      <c r="I21" s="28"/>
      <c r="J21" s="28"/>
      <c r="K21" s="28"/>
    </row>
    <row r="22" spans="1:11">
      <c r="B22" s="25"/>
      <c r="C22" s="25"/>
      <c r="D22" s="50"/>
      <c r="E22" s="50"/>
      <c r="F22" s="30"/>
      <c r="G22" s="31" t="s">
        <v>23</v>
      </c>
      <c r="H22" s="32">
        <f>IF(C20&lt;=25%,D20,MIN(E20:F20))</f>
        <v>227.56</v>
      </c>
    </row>
    <row r="23" spans="1:11">
      <c r="B23" s="25"/>
      <c r="C23" s="25"/>
      <c r="D23" s="50"/>
      <c r="E23" s="50"/>
      <c r="F23" s="33"/>
      <c r="G23" s="4" t="s">
        <v>24</v>
      </c>
      <c r="H23" s="24">
        <f>ROUND(H22,2)*D3</f>
        <v>22756</v>
      </c>
    </row>
    <row r="24" spans="1:11">
      <c r="B24" s="29"/>
      <c r="C24" s="29"/>
      <c r="D24" s="18"/>
      <c r="E24" s="18"/>
    </row>
    <row r="26" spans="1:11" ht="12.75" customHeight="1">
      <c r="A26" s="47" t="s">
        <v>25</v>
      </c>
      <c r="B26" s="47"/>
      <c r="C26" s="47"/>
      <c r="D26" s="47"/>
      <c r="E26" s="47"/>
      <c r="F26" s="47"/>
      <c r="G26" s="47"/>
      <c r="H26" s="47"/>
      <c r="I26" s="47"/>
    </row>
    <row r="27" spans="1:11" ht="12.75" customHeight="1">
      <c r="A27" s="47" t="s">
        <v>26</v>
      </c>
      <c r="B27" s="47"/>
      <c r="C27" s="47"/>
      <c r="D27" s="47"/>
      <c r="E27" s="47"/>
      <c r="F27" s="47"/>
      <c r="G27" s="47"/>
      <c r="H27" s="47"/>
      <c r="I27" s="47"/>
    </row>
    <row r="28" spans="1:11" ht="12.75" customHeight="1">
      <c r="A28" s="47" t="s">
        <v>27</v>
      </c>
      <c r="B28" s="47"/>
      <c r="C28" s="47"/>
      <c r="D28" s="47"/>
      <c r="E28" s="47"/>
      <c r="F28" s="47"/>
      <c r="G28" s="47"/>
      <c r="H28" s="47"/>
      <c r="I28" s="47"/>
    </row>
    <row r="29" spans="1:11" ht="12.75" customHeight="1">
      <c r="A29" s="47" t="s">
        <v>28</v>
      </c>
      <c r="B29" s="47"/>
      <c r="C29" s="47"/>
      <c r="D29" s="47"/>
      <c r="E29" s="47"/>
      <c r="F29" s="47"/>
      <c r="G29" s="47"/>
      <c r="H29" s="47"/>
      <c r="I29" s="47"/>
    </row>
    <row r="30" spans="1:11" ht="12.75" customHeight="1">
      <c r="A30" s="47" t="s">
        <v>29</v>
      </c>
      <c r="B30" s="47"/>
      <c r="C30" s="47"/>
      <c r="D30" s="47"/>
      <c r="E30" s="47"/>
      <c r="F30" s="47"/>
      <c r="G30" s="47"/>
      <c r="H30" s="47"/>
      <c r="I30" s="47"/>
    </row>
    <row r="31" spans="1:11" ht="12.75" customHeight="1">
      <c r="A31" s="47" t="s">
        <v>30</v>
      </c>
      <c r="B31" s="47"/>
      <c r="C31" s="47"/>
      <c r="D31" s="47"/>
      <c r="E31" s="47"/>
      <c r="F31" s="47"/>
      <c r="G31" s="47"/>
      <c r="H31" s="47"/>
      <c r="I31" s="47"/>
    </row>
    <row r="32" spans="1:11" ht="24.75" customHeight="1">
      <c r="A32" s="48" t="s">
        <v>31</v>
      </c>
      <c r="B32" s="48"/>
      <c r="C32" s="48"/>
      <c r="D32" s="48"/>
      <c r="E32" s="48"/>
      <c r="F32" s="48"/>
      <c r="G32" s="48"/>
      <c r="H32" s="48"/>
      <c r="I32" s="48"/>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H7" sqref="H7"/>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51" t="s">
        <v>0</v>
      </c>
      <c r="B1" s="51"/>
      <c r="C1" s="51"/>
      <c r="D1" s="51"/>
      <c r="E1" s="51"/>
      <c r="F1" s="51"/>
      <c r="G1" s="51"/>
      <c r="H1" s="51"/>
      <c r="I1" s="51"/>
    </row>
    <row r="2" spans="1:9" ht="25.5">
      <c r="A2" s="52" t="s">
        <v>130</v>
      </c>
      <c r="B2" s="2" t="s">
        <v>2</v>
      </c>
      <c r="C2" s="2" t="s">
        <v>3</v>
      </c>
      <c r="D2" s="2" t="s">
        <v>4</v>
      </c>
      <c r="E2" s="3" t="s">
        <v>5</v>
      </c>
      <c r="F2" s="3" t="s">
        <v>6</v>
      </c>
      <c r="G2" s="2" t="s">
        <v>7</v>
      </c>
      <c r="H2" s="4" t="s">
        <v>8</v>
      </c>
      <c r="I2" s="5" t="s">
        <v>9</v>
      </c>
    </row>
    <row r="3" spans="1:9" ht="12.75" customHeight="1">
      <c r="A3" s="52"/>
      <c r="B3" s="57" t="s">
        <v>131</v>
      </c>
      <c r="C3" s="54" t="s">
        <v>41</v>
      </c>
      <c r="D3" s="55">
        <v>250</v>
      </c>
      <c r="E3" s="56">
        <f>IF(C20&lt;=25%,D20,MIN(E20:F20))</f>
        <v>41.92</v>
      </c>
      <c r="F3" s="56">
        <f>MIN(H3:H17)</f>
        <v>29.972515999999999</v>
      </c>
      <c r="G3" s="6" t="s">
        <v>35</v>
      </c>
      <c r="H3" s="7">
        <f>28*1.070447</f>
        <v>29.972515999999999</v>
      </c>
      <c r="I3" s="8">
        <f t="shared" ref="I3:I17" si="0">IF(H3="","",(IF($C$20&lt;25%,"N/A",IF(H3&lt;=($D$20+$A$20),H3,"Descartado"))))</f>
        <v>29.972515999999999</v>
      </c>
    </row>
    <row r="4" spans="1:9">
      <c r="A4" s="52"/>
      <c r="B4" s="57"/>
      <c r="C4" s="54"/>
      <c r="D4" s="55"/>
      <c r="E4" s="56"/>
      <c r="F4" s="56"/>
      <c r="G4" s="6" t="s">
        <v>132</v>
      </c>
      <c r="H4" s="7">
        <f>40.41*1.070447</f>
        <v>43.256763269999993</v>
      </c>
      <c r="I4" s="8">
        <f t="shared" si="0"/>
        <v>43.256763269999993</v>
      </c>
    </row>
    <row r="5" spans="1:9">
      <c r="A5" s="52"/>
      <c r="B5" s="57"/>
      <c r="C5" s="54"/>
      <c r="D5" s="55"/>
      <c r="E5" s="56"/>
      <c r="F5" s="56"/>
      <c r="G5" s="6" t="s">
        <v>133</v>
      </c>
      <c r="H5" s="7">
        <f>49.08*1.070447</f>
        <v>52.537538759999997</v>
      </c>
      <c r="I5" s="8">
        <f t="shared" si="0"/>
        <v>52.537538759999997</v>
      </c>
    </row>
    <row r="6" spans="1:9">
      <c r="A6" s="52"/>
      <c r="B6" s="57"/>
      <c r="C6" s="54"/>
      <c r="D6" s="55"/>
      <c r="E6" s="56"/>
      <c r="F6" s="56"/>
      <c r="G6" s="6" t="s">
        <v>134</v>
      </c>
      <c r="H6" s="7">
        <f>70.54*1.070447</f>
        <v>75.509331380000006</v>
      </c>
      <c r="I6" s="8" t="str">
        <f t="shared" si="0"/>
        <v>Descartado</v>
      </c>
    </row>
    <row r="7" spans="1:9">
      <c r="A7" s="52"/>
      <c r="B7" s="57"/>
      <c r="C7" s="54"/>
      <c r="D7" s="55"/>
      <c r="E7" s="56"/>
      <c r="F7" s="56"/>
      <c r="G7" s="6"/>
      <c r="H7" s="7"/>
      <c r="I7" s="8" t="str">
        <f t="shared" si="0"/>
        <v/>
      </c>
    </row>
    <row r="8" spans="1:9">
      <c r="A8" s="52"/>
      <c r="B8" s="57"/>
      <c r="C8" s="54"/>
      <c r="D8" s="55"/>
      <c r="E8" s="56"/>
      <c r="F8" s="56"/>
      <c r="G8" s="6"/>
      <c r="H8" s="7"/>
      <c r="I8" s="8" t="str">
        <f t="shared" si="0"/>
        <v/>
      </c>
    </row>
    <row r="9" spans="1:9">
      <c r="A9" s="52"/>
      <c r="B9" s="57"/>
      <c r="C9" s="54"/>
      <c r="D9" s="55"/>
      <c r="E9" s="56"/>
      <c r="F9" s="56"/>
      <c r="G9" s="6"/>
      <c r="H9" s="7"/>
      <c r="I9" s="8" t="str">
        <f t="shared" si="0"/>
        <v/>
      </c>
    </row>
    <row r="10" spans="1:9">
      <c r="A10" s="52"/>
      <c r="B10" s="57"/>
      <c r="C10" s="54"/>
      <c r="D10" s="55"/>
      <c r="E10" s="56"/>
      <c r="F10" s="56"/>
      <c r="G10" s="6"/>
      <c r="H10" s="7"/>
      <c r="I10" s="8" t="str">
        <f t="shared" si="0"/>
        <v/>
      </c>
    </row>
    <row r="11" spans="1:9">
      <c r="A11" s="52"/>
      <c r="B11" s="57"/>
      <c r="C11" s="54"/>
      <c r="D11" s="55"/>
      <c r="E11" s="56"/>
      <c r="F11" s="56"/>
      <c r="G11" s="6"/>
      <c r="H11" s="7"/>
      <c r="I11" s="8" t="str">
        <f t="shared" si="0"/>
        <v/>
      </c>
    </row>
    <row r="12" spans="1:9">
      <c r="A12" s="52"/>
      <c r="B12" s="57"/>
      <c r="C12" s="54"/>
      <c r="D12" s="55"/>
      <c r="E12" s="56"/>
      <c r="F12" s="56"/>
      <c r="G12" s="6"/>
      <c r="H12" s="7"/>
      <c r="I12" s="8" t="str">
        <f t="shared" si="0"/>
        <v/>
      </c>
    </row>
    <row r="13" spans="1:9">
      <c r="A13" s="52"/>
      <c r="B13" s="57"/>
      <c r="C13" s="54"/>
      <c r="D13" s="55"/>
      <c r="E13" s="56"/>
      <c r="F13" s="56"/>
      <c r="G13" s="6"/>
      <c r="H13" s="7"/>
      <c r="I13" s="8" t="str">
        <f t="shared" si="0"/>
        <v/>
      </c>
    </row>
    <row r="14" spans="1:9">
      <c r="A14" s="52"/>
      <c r="B14" s="57"/>
      <c r="C14" s="54"/>
      <c r="D14" s="55"/>
      <c r="E14" s="56"/>
      <c r="F14" s="56"/>
      <c r="G14" s="6"/>
      <c r="H14" s="7"/>
      <c r="I14" s="8" t="str">
        <f t="shared" si="0"/>
        <v/>
      </c>
    </row>
    <row r="15" spans="1:9">
      <c r="A15" s="52"/>
      <c r="B15" s="57"/>
      <c r="C15" s="54"/>
      <c r="D15" s="55"/>
      <c r="E15" s="56"/>
      <c r="F15" s="56"/>
      <c r="G15" s="6"/>
      <c r="H15" s="7"/>
      <c r="I15" s="8" t="str">
        <f t="shared" si="0"/>
        <v/>
      </c>
    </row>
    <row r="16" spans="1:9">
      <c r="A16" s="52"/>
      <c r="B16" s="57"/>
      <c r="C16" s="54"/>
      <c r="D16" s="55"/>
      <c r="E16" s="56"/>
      <c r="F16" s="56"/>
      <c r="G16" s="6"/>
      <c r="H16" s="7"/>
      <c r="I16" s="8" t="str">
        <f t="shared" si="0"/>
        <v/>
      </c>
    </row>
    <row r="17" spans="1:11">
      <c r="A17" s="52"/>
      <c r="B17" s="57"/>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16</v>
      </c>
      <c r="B19" s="5" t="s">
        <v>17</v>
      </c>
      <c r="C19" s="4" t="s">
        <v>18</v>
      </c>
      <c r="D19" s="16" t="s">
        <v>19</v>
      </c>
      <c r="E19" s="17" t="s">
        <v>20</v>
      </c>
      <c r="F19" s="16" t="s">
        <v>21</v>
      </c>
      <c r="G19" s="49" t="s">
        <v>22</v>
      </c>
      <c r="H19" s="49"/>
      <c r="I19" s="18"/>
    </row>
    <row r="20" spans="1:11">
      <c r="A20" s="19">
        <f>IF(B20&lt;2,"N/A",(STDEV(H3:H17)))</f>
        <v>19.177498168870294</v>
      </c>
      <c r="B20" s="19">
        <f>COUNT(H3:H17)</f>
        <v>4</v>
      </c>
      <c r="C20" s="20">
        <f>IF(B20&lt;2,"N/A",(A20/D20))</f>
        <v>0.38111085391236671</v>
      </c>
      <c r="D20" s="21">
        <f>ROUND(AVERAGE(H3:H17),2)</f>
        <v>50.32</v>
      </c>
      <c r="E20" s="22">
        <f>IFERROR(ROUND(IF(B20&lt;2,"N/A",(IF(C20&lt;=25%,"N/A",AVERAGE(I3:I17)))),2),"N/A")</f>
        <v>41.92</v>
      </c>
      <c r="F20" s="22">
        <f>ROUND(MEDIAN(H3:H17),2)</f>
        <v>47.9</v>
      </c>
      <c r="G20" s="23" t="str">
        <f>INDEX(G3:G17,MATCH(H20,H3:H17,0))</f>
        <v>N. T. LUIZE EIRELI</v>
      </c>
      <c r="H20" s="24">
        <f>MIN(H3:H17)</f>
        <v>29.972515999999999</v>
      </c>
      <c r="I20" s="18"/>
    </row>
    <row r="21" spans="1:11">
      <c r="A21" s="25"/>
      <c r="B21" s="18"/>
      <c r="C21" s="26"/>
      <c r="D21" s="26"/>
      <c r="E21" s="26"/>
      <c r="F21" s="26"/>
      <c r="G21" s="18"/>
      <c r="H21" s="27"/>
      <c r="I21" s="28"/>
      <c r="J21" s="28"/>
      <c r="K21" s="28"/>
    </row>
    <row r="22" spans="1:11">
      <c r="B22" s="25"/>
      <c r="C22" s="25"/>
      <c r="D22" s="50"/>
      <c r="E22" s="50"/>
      <c r="F22" s="30"/>
      <c r="G22" s="31" t="s">
        <v>23</v>
      </c>
      <c r="H22" s="32">
        <f>IF(C20&lt;=25%,D20,MIN(E20:F20))</f>
        <v>41.92</v>
      </c>
    </row>
    <row r="23" spans="1:11">
      <c r="B23" s="25"/>
      <c r="C23" s="25"/>
      <c r="D23" s="50"/>
      <c r="E23" s="50"/>
      <c r="F23" s="33"/>
      <c r="G23" s="4" t="s">
        <v>24</v>
      </c>
      <c r="H23" s="24">
        <f>ROUND(H22,2)*D3</f>
        <v>10480</v>
      </c>
    </row>
    <row r="24" spans="1:11">
      <c r="B24" s="29"/>
      <c r="C24" s="29"/>
      <c r="D24" s="18"/>
      <c r="E24" s="18"/>
    </row>
    <row r="26" spans="1:11" ht="12.75" customHeight="1">
      <c r="A26" s="47" t="s">
        <v>25</v>
      </c>
      <c r="B26" s="47"/>
      <c r="C26" s="47"/>
      <c r="D26" s="47"/>
      <c r="E26" s="47"/>
      <c r="F26" s="47"/>
      <c r="G26" s="47"/>
      <c r="H26" s="47"/>
      <c r="I26" s="47"/>
    </row>
    <row r="27" spans="1:11" ht="12.75" customHeight="1">
      <c r="A27" s="47" t="s">
        <v>26</v>
      </c>
      <c r="B27" s="47"/>
      <c r="C27" s="47"/>
      <c r="D27" s="47"/>
      <c r="E27" s="47"/>
      <c r="F27" s="47"/>
      <c r="G27" s="47"/>
      <c r="H27" s="47"/>
      <c r="I27" s="47"/>
    </row>
    <row r="28" spans="1:11" ht="12.75" customHeight="1">
      <c r="A28" s="47" t="s">
        <v>27</v>
      </c>
      <c r="B28" s="47"/>
      <c r="C28" s="47"/>
      <c r="D28" s="47"/>
      <c r="E28" s="47"/>
      <c r="F28" s="47"/>
      <c r="G28" s="47"/>
      <c r="H28" s="47"/>
      <c r="I28" s="47"/>
    </row>
    <row r="29" spans="1:11" ht="12.75" customHeight="1">
      <c r="A29" s="47" t="s">
        <v>28</v>
      </c>
      <c r="B29" s="47"/>
      <c r="C29" s="47"/>
      <c r="D29" s="47"/>
      <c r="E29" s="47"/>
      <c r="F29" s="47"/>
      <c r="G29" s="47"/>
      <c r="H29" s="47"/>
      <c r="I29" s="47"/>
    </row>
    <row r="30" spans="1:11" ht="12.75" customHeight="1">
      <c r="A30" s="47" t="s">
        <v>29</v>
      </c>
      <c r="B30" s="47"/>
      <c r="C30" s="47"/>
      <c r="D30" s="47"/>
      <c r="E30" s="47"/>
      <c r="F30" s="47"/>
      <c r="G30" s="47"/>
      <c r="H30" s="47"/>
      <c r="I30" s="47"/>
    </row>
    <row r="31" spans="1:11" ht="12.75" customHeight="1">
      <c r="A31" s="47" t="s">
        <v>30</v>
      </c>
      <c r="B31" s="47"/>
      <c r="C31" s="47"/>
      <c r="D31" s="47"/>
      <c r="E31" s="47"/>
      <c r="F31" s="47"/>
      <c r="G31" s="47"/>
      <c r="H31" s="47"/>
      <c r="I31" s="47"/>
    </row>
    <row r="32" spans="1:11" ht="24.75" customHeight="1">
      <c r="A32" s="48" t="s">
        <v>31</v>
      </c>
      <c r="B32" s="48"/>
      <c r="C32" s="48"/>
      <c r="D32" s="48"/>
      <c r="E32" s="48"/>
      <c r="F32" s="48"/>
      <c r="G32" s="48"/>
      <c r="H32" s="48"/>
      <c r="I32" s="48"/>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H14" sqref="H14"/>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51" t="s">
        <v>0</v>
      </c>
      <c r="B1" s="51"/>
      <c r="C1" s="51"/>
      <c r="D1" s="51"/>
      <c r="E1" s="51"/>
      <c r="F1" s="51"/>
      <c r="G1" s="51"/>
      <c r="H1" s="51"/>
      <c r="I1" s="51"/>
    </row>
    <row r="2" spans="1:9" ht="25.5">
      <c r="A2" s="52" t="s">
        <v>135</v>
      </c>
      <c r="B2" s="2" t="s">
        <v>2</v>
      </c>
      <c r="C2" s="2" t="s">
        <v>3</v>
      </c>
      <c r="D2" s="2" t="s">
        <v>4</v>
      </c>
      <c r="E2" s="3" t="s">
        <v>5</v>
      </c>
      <c r="F2" s="3" t="s">
        <v>6</v>
      </c>
      <c r="G2" s="2" t="s">
        <v>7</v>
      </c>
      <c r="H2" s="4" t="s">
        <v>8</v>
      </c>
      <c r="I2" s="5" t="s">
        <v>9</v>
      </c>
    </row>
    <row r="3" spans="1:9" ht="12.75" customHeight="1">
      <c r="A3" s="52"/>
      <c r="B3" s="57" t="s">
        <v>136</v>
      </c>
      <c r="C3" s="54" t="s">
        <v>41</v>
      </c>
      <c r="D3" s="55">
        <v>35000</v>
      </c>
      <c r="E3" s="56">
        <f>IF(C20&lt;=25%,D20,MIN(E20:F20))</f>
        <v>1.5</v>
      </c>
      <c r="F3" s="56">
        <f>MIN(H3:H17)</f>
        <v>0.95269782999999997</v>
      </c>
      <c r="G3" s="6" t="s">
        <v>137</v>
      </c>
      <c r="H3" s="7">
        <f>0.89*1.070447</f>
        <v>0.95269782999999997</v>
      </c>
      <c r="I3" s="8">
        <f t="shared" ref="I3:I17" si="0">IF(H3="","",(IF($C$20&lt;25%,"N/A",IF(H3&lt;=($D$20+$A$20),H3,"Descartado"))))</f>
        <v>0.95269782999999997</v>
      </c>
    </row>
    <row r="4" spans="1:9">
      <c r="A4" s="52"/>
      <c r="B4" s="57"/>
      <c r="C4" s="54"/>
      <c r="D4" s="55"/>
      <c r="E4" s="56"/>
      <c r="F4" s="56"/>
      <c r="G4" s="6" t="s">
        <v>138</v>
      </c>
      <c r="H4" s="7">
        <f>0.92*1.070447</f>
        <v>0.98481123999999998</v>
      </c>
      <c r="I4" s="8">
        <f t="shared" si="0"/>
        <v>0.98481123999999998</v>
      </c>
    </row>
    <row r="5" spans="1:9">
      <c r="A5" s="52"/>
      <c r="B5" s="57"/>
      <c r="C5" s="54"/>
      <c r="D5" s="55"/>
      <c r="E5" s="56"/>
      <c r="F5" s="56"/>
      <c r="G5" s="6" t="s">
        <v>139</v>
      </c>
      <c r="H5" s="7">
        <f>1.48*1.070447</f>
        <v>1.5842615599999998</v>
      </c>
      <c r="I5" s="8">
        <f t="shared" si="0"/>
        <v>1.5842615599999998</v>
      </c>
    </row>
    <row r="6" spans="1:9">
      <c r="A6" s="52"/>
      <c r="B6" s="57"/>
      <c r="C6" s="54"/>
      <c r="D6" s="55"/>
      <c r="E6" s="56"/>
      <c r="F6" s="56"/>
      <c r="G6" s="6" t="s">
        <v>140</v>
      </c>
      <c r="H6" s="7">
        <f>2.25*1.070447</f>
        <v>2.4085057499999998</v>
      </c>
      <c r="I6" s="8" t="str">
        <f t="shared" si="0"/>
        <v>Descartado</v>
      </c>
    </row>
    <row r="7" spans="1:9">
      <c r="A7" s="52"/>
      <c r="B7" s="57"/>
      <c r="C7" s="54"/>
      <c r="D7" s="55"/>
      <c r="E7" s="56"/>
      <c r="F7" s="56"/>
      <c r="G7" s="6" t="s">
        <v>141</v>
      </c>
      <c r="H7" s="7">
        <f>1.17*1.070447</f>
        <v>1.2524229899999999</v>
      </c>
      <c r="I7" s="8">
        <f t="shared" si="0"/>
        <v>1.2524229899999999</v>
      </c>
    </row>
    <row r="8" spans="1:9">
      <c r="A8" s="52"/>
      <c r="B8" s="57"/>
      <c r="C8" s="54"/>
      <c r="D8" s="55"/>
      <c r="E8" s="56"/>
      <c r="F8" s="56"/>
      <c r="G8" s="6" t="s">
        <v>142</v>
      </c>
      <c r="H8" s="7">
        <f>1.3*1.070447</f>
        <v>1.3915811</v>
      </c>
      <c r="I8" s="8">
        <f t="shared" si="0"/>
        <v>1.3915811</v>
      </c>
    </row>
    <row r="9" spans="1:9">
      <c r="A9" s="52"/>
      <c r="B9" s="57"/>
      <c r="C9" s="54"/>
      <c r="D9" s="55"/>
      <c r="E9" s="56"/>
      <c r="F9" s="56"/>
      <c r="G9" s="6" t="s">
        <v>62</v>
      </c>
      <c r="H9" s="7">
        <f>1.7*1.070447</f>
        <v>1.8197598999999998</v>
      </c>
      <c r="I9" s="8">
        <f t="shared" si="0"/>
        <v>1.8197598999999998</v>
      </c>
    </row>
    <row r="10" spans="1:9">
      <c r="A10" s="52"/>
      <c r="B10" s="57"/>
      <c r="C10" s="54"/>
      <c r="D10" s="55"/>
      <c r="E10" s="56"/>
      <c r="F10" s="56"/>
      <c r="G10" s="6" t="s">
        <v>63</v>
      </c>
      <c r="H10" s="7">
        <f>1.7*1.070447</f>
        <v>1.8197598999999998</v>
      </c>
      <c r="I10" s="8">
        <f t="shared" si="0"/>
        <v>1.8197598999999998</v>
      </c>
    </row>
    <row r="11" spans="1:9">
      <c r="A11" s="52"/>
      <c r="B11" s="57"/>
      <c r="C11" s="54"/>
      <c r="D11" s="55"/>
      <c r="E11" s="56"/>
      <c r="F11" s="56"/>
      <c r="G11" s="6" t="s">
        <v>143</v>
      </c>
      <c r="H11" s="7">
        <f>1.49*1.070447</f>
        <v>1.5949660299999999</v>
      </c>
      <c r="I11" s="8">
        <f t="shared" si="0"/>
        <v>1.5949660299999999</v>
      </c>
    </row>
    <row r="12" spans="1:9">
      <c r="A12" s="52"/>
      <c r="B12" s="57"/>
      <c r="C12" s="54"/>
      <c r="D12" s="55"/>
      <c r="E12" s="56"/>
      <c r="F12" s="56"/>
      <c r="G12" s="6" t="s">
        <v>144</v>
      </c>
      <c r="H12" s="7">
        <f>2.9*1.070447</f>
        <v>3.1042962999999997</v>
      </c>
      <c r="I12" s="8" t="str">
        <f t="shared" si="0"/>
        <v>Descartado</v>
      </c>
    </row>
    <row r="13" spans="1:9">
      <c r="A13" s="52"/>
      <c r="B13" s="57"/>
      <c r="C13" s="54"/>
      <c r="D13" s="55"/>
      <c r="E13" s="56"/>
      <c r="F13" s="56"/>
      <c r="G13" s="6" t="s">
        <v>145</v>
      </c>
      <c r="H13" s="7">
        <f>2*1.070447</f>
        <v>2.1408939999999999</v>
      </c>
      <c r="I13" s="8">
        <f t="shared" si="0"/>
        <v>2.1408939999999999</v>
      </c>
    </row>
    <row r="14" spans="1:9">
      <c r="A14" s="52"/>
      <c r="B14" s="57"/>
      <c r="C14" s="54"/>
      <c r="D14" s="55"/>
      <c r="E14" s="56"/>
      <c r="F14" s="56"/>
      <c r="G14" s="6"/>
      <c r="H14" s="7"/>
      <c r="I14" s="8" t="str">
        <f t="shared" si="0"/>
        <v/>
      </c>
    </row>
    <row r="15" spans="1:9">
      <c r="A15" s="52"/>
      <c r="B15" s="57"/>
      <c r="C15" s="54"/>
      <c r="D15" s="55"/>
      <c r="E15" s="56"/>
      <c r="F15" s="56"/>
      <c r="G15" s="6"/>
      <c r="H15" s="7"/>
      <c r="I15" s="8" t="str">
        <f t="shared" si="0"/>
        <v/>
      </c>
    </row>
    <row r="16" spans="1:9">
      <c r="A16" s="52"/>
      <c r="B16" s="57"/>
      <c r="C16" s="54"/>
      <c r="D16" s="55"/>
      <c r="E16" s="56"/>
      <c r="F16" s="56"/>
      <c r="G16" s="6"/>
      <c r="H16" s="7"/>
      <c r="I16" s="8" t="str">
        <f t="shared" si="0"/>
        <v/>
      </c>
    </row>
    <row r="17" spans="1:11">
      <c r="A17" s="52"/>
      <c r="B17" s="57"/>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16</v>
      </c>
      <c r="B19" s="5" t="s">
        <v>17</v>
      </c>
      <c r="C19" s="4" t="s">
        <v>18</v>
      </c>
      <c r="D19" s="16" t="s">
        <v>19</v>
      </c>
      <c r="E19" s="17" t="s">
        <v>20</v>
      </c>
      <c r="F19" s="16" t="s">
        <v>21</v>
      </c>
      <c r="G19" s="49" t="s">
        <v>22</v>
      </c>
      <c r="H19" s="49"/>
      <c r="I19" s="18"/>
    </row>
    <row r="20" spans="1:11">
      <c r="A20" s="19">
        <f>IF(B20&lt;2,"N/A",(STDEV(H3:H17)))</f>
        <v>0.63839969665605201</v>
      </c>
      <c r="B20" s="19">
        <f>COUNT(H3:H17)</f>
        <v>11</v>
      </c>
      <c r="C20" s="20">
        <f>IF(B20&lt;2,"N/A",(A20/D20))</f>
        <v>0.36901716569713988</v>
      </c>
      <c r="D20" s="21">
        <f>ROUND(AVERAGE(H3:H17),2)</f>
        <v>1.73</v>
      </c>
      <c r="E20" s="22">
        <f>IFERROR(ROUND(IF(B20&lt;2,"N/A",(IF(C20&lt;=25%,"N/A",AVERAGE(I3:I17)))),2),"N/A")</f>
        <v>1.5</v>
      </c>
      <c r="F20" s="22">
        <f>ROUND(MEDIAN(H3:H17),2)</f>
        <v>1.59</v>
      </c>
      <c r="G20" s="23" t="str">
        <f>INDEX(G3:G17,MATCH(H20,H3:H17,0))</f>
        <v>PRISMA PAPELARIA EIRELI</v>
      </c>
      <c r="H20" s="24">
        <f>MIN(H3:H17)</f>
        <v>0.95269782999999997</v>
      </c>
      <c r="I20" s="18"/>
    </row>
    <row r="21" spans="1:11">
      <c r="A21" s="25"/>
      <c r="B21" s="18"/>
      <c r="C21" s="26"/>
      <c r="D21" s="26"/>
      <c r="E21" s="26"/>
      <c r="F21" s="26"/>
      <c r="G21" s="18"/>
      <c r="H21" s="27"/>
      <c r="I21" s="28"/>
      <c r="J21" s="28"/>
      <c r="K21" s="28"/>
    </row>
    <row r="22" spans="1:11">
      <c r="B22" s="25"/>
      <c r="C22" s="25"/>
      <c r="D22" s="50"/>
      <c r="E22" s="50"/>
      <c r="F22" s="30"/>
      <c r="G22" s="31" t="s">
        <v>23</v>
      </c>
      <c r="H22" s="32">
        <f>IF(C20&lt;=25%,D20,MIN(E20:F20))</f>
        <v>1.5</v>
      </c>
    </row>
    <row r="23" spans="1:11">
      <c r="B23" s="25"/>
      <c r="C23" s="25"/>
      <c r="D23" s="50"/>
      <c r="E23" s="50"/>
      <c r="F23" s="33"/>
      <c r="G23" s="4" t="s">
        <v>24</v>
      </c>
      <c r="H23" s="24">
        <f>ROUND(H22,2)*D3</f>
        <v>52500</v>
      </c>
    </row>
    <row r="24" spans="1:11">
      <c r="B24" s="29"/>
      <c r="C24" s="29"/>
      <c r="D24" s="18"/>
      <c r="E24" s="18"/>
    </row>
    <row r="26" spans="1:11" ht="12.75" customHeight="1">
      <c r="A26" s="47" t="s">
        <v>25</v>
      </c>
      <c r="B26" s="47"/>
      <c r="C26" s="47"/>
      <c r="D26" s="47"/>
      <c r="E26" s="47"/>
      <c r="F26" s="47"/>
      <c r="G26" s="47"/>
      <c r="H26" s="47"/>
      <c r="I26" s="47"/>
    </row>
    <row r="27" spans="1:11" ht="12.75" customHeight="1">
      <c r="A27" s="47" t="s">
        <v>26</v>
      </c>
      <c r="B27" s="47"/>
      <c r="C27" s="47"/>
      <c r="D27" s="47"/>
      <c r="E27" s="47"/>
      <c r="F27" s="47"/>
      <c r="G27" s="47"/>
      <c r="H27" s="47"/>
      <c r="I27" s="47"/>
    </row>
    <row r="28" spans="1:11" ht="12.75" customHeight="1">
      <c r="A28" s="47" t="s">
        <v>27</v>
      </c>
      <c r="B28" s="47"/>
      <c r="C28" s="47"/>
      <c r="D28" s="47"/>
      <c r="E28" s="47"/>
      <c r="F28" s="47"/>
      <c r="G28" s="47"/>
      <c r="H28" s="47"/>
      <c r="I28" s="47"/>
    </row>
    <row r="29" spans="1:11" ht="12.75" customHeight="1">
      <c r="A29" s="47" t="s">
        <v>28</v>
      </c>
      <c r="B29" s="47"/>
      <c r="C29" s="47"/>
      <c r="D29" s="47"/>
      <c r="E29" s="47"/>
      <c r="F29" s="47"/>
      <c r="G29" s="47"/>
      <c r="H29" s="47"/>
      <c r="I29" s="47"/>
    </row>
    <row r="30" spans="1:11" ht="12.75" customHeight="1">
      <c r="A30" s="47" t="s">
        <v>29</v>
      </c>
      <c r="B30" s="47"/>
      <c r="C30" s="47"/>
      <c r="D30" s="47"/>
      <c r="E30" s="47"/>
      <c r="F30" s="47"/>
      <c r="G30" s="47"/>
      <c r="H30" s="47"/>
      <c r="I30" s="47"/>
    </row>
    <row r="31" spans="1:11" ht="12.75" customHeight="1">
      <c r="A31" s="47" t="s">
        <v>30</v>
      </c>
      <c r="B31" s="47"/>
      <c r="C31" s="47"/>
      <c r="D31" s="47"/>
      <c r="E31" s="47"/>
      <c r="F31" s="47"/>
      <c r="G31" s="47"/>
      <c r="H31" s="47"/>
      <c r="I31" s="47"/>
    </row>
    <row r="32" spans="1:11" ht="24.75" customHeight="1">
      <c r="A32" s="48" t="s">
        <v>31</v>
      </c>
      <c r="B32" s="48"/>
      <c r="C32" s="48"/>
      <c r="D32" s="48"/>
      <c r="E32" s="48"/>
      <c r="F32" s="48"/>
      <c r="G32" s="48"/>
      <c r="H32" s="48"/>
      <c r="I32" s="48"/>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H7" sqref="H7"/>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51" t="s">
        <v>0</v>
      </c>
      <c r="B1" s="51"/>
      <c r="C1" s="51"/>
      <c r="D1" s="51"/>
      <c r="E1" s="51"/>
      <c r="F1" s="51"/>
      <c r="G1" s="51"/>
      <c r="H1" s="51"/>
      <c r="I1" s="51"/>
    </row>
    <row r="2" spans="1:9" ht="25.5">
      <c r="A2" s="52" t="s">
        <v>146</v>
      </c>
      <c r="B2" s="2" t="s">
        <v>2</v>
      </c>
      <c r="C2" s="2" t="s">
        <v>3</v>
      </c>
      <c r="D2" s="2" t="s">
        <v>4</v>
      </c>
      <c r="E2" s="3" t="s">
        <v>5</v>
      </c>
      <c r="F2" s="3" t="s">
        <v>6</v>
      </c>
      <c r="G2" s="2" t="s">
        <v>7</v>
      </c>
      <c r="H2" s="4" t="s">
        <v>8</v>
      </c>
      <c r="I2" s="5" t="s">
        <v>9</v>
      </c>
    </row>
    <row r="3" spans="1:9" ht="12.75" customHeight="1">
      <c r="A3" s="52"/>
      <c r="B3" s="53" t="s">
        <v>147</v>
      </c>
      <c r="C3" s="54" t="s">
        <v>11</v>
      </c>
      <c r="D3" s="55">
        <f>30000*0.75</f>
        <v>22500</v>
      </c>
      <c r="E3" s="56">
        <f>IF(C20&lt;=25%,D20,MIN(E20:F20))</f>
        <v>2.86</v>
      </c>
      <c r="F3" s="56">
        <f>MIN(H3:H17)</f>
        <v>2.5155504500000001</v>
      </c>
      <c r="G3" s="6" t="s">
        <v>12</v>
      </c>
      <c r="H3" s="7">
        <f>2.35*1.070447</f>
        <v>2.5155504500000001</v>
      </c>
      <c r="I3" s="8">
        <f t="shared" ref="I3:I17" si="0">IF(H3="","",(IF($C$20&lt;25%,"N/A",IF(H3&lt;=($D$20+$A$20),H3,"Descartado"))))</f>
        <v>2.5155504500000001</v>
      </c>
    </row>
    <row r="4" spans="1:9">
      <c r="A4" s="52"/>
      <c r="B4" s="53"/>
      <c r="C4" s="54"/>
      <c r="D4" s="55"/>
      <c r="E4" s="56"/>
      <c r="F4" s="56"/>
      <c r="G4" s="6" t="s">
        <v>13</v>
      </c>
      <c r="H4" s="7">
        <f>2.78*1.070447</f>
        <v>2.9758426599999996</v>
      </c>
      <c r="I4" s="8">
        <f t="shared" si="0"/>
        <v>2.9758426599999996</v>
      </c>
    </row>
    <row r="5" spans="1:9">
      <c r="A5" s="52"/>
      <c r="B5" s="53"/>
      <c r="C5" s="54"/>
      <c r="D5" s="55"/>
      <c r="E5" s="56"/>
      <c r="F5" s="56"/>
      <c r="G5" s="6" t="s">
        <v>14</v>
      </c>
      <c r="H5" s="7">
        <f>2.89*1.070447</f>
        <v>3.0935918299999998</v>
      </c>
      <c r="I5" s="8">
        <f t="shared" si="0"/>
        <v>3.0935918299999998</v>
      </c>
    </row>
    <row r="6" spans="1:9">
      <c r="A6" s="52"/>
      <c r="B6" s="53"/>
      <c r="C6" s="54"/>
      <c r="D6" s="55"/>
      <c r="E6" s="56"/>
      <c r="F6" s="56"/>
      <c r="G6" s="6" t="s">
        <v>15</v>
      </c>
      <c r="H6" s="7">
        <f>8.9*1.070447</f>
        <v>9.5269782999999997</v>
      </c>
      <c r="I6" s="8" t="str">
        <f t="shared" si="0"/>
        <v>Descartado</v>
      </c>
    </row>
    <row r="7" spans="1:9">
      <c r="A7" s="52"/>
      <c r="B7" s="53"/>
      <c r="C7" s="54"/>
      <c r="D7" s="55"/>
      <c r="E7" s="56"/>
      <c r="F7" s="56"/>
      <c r="G7" s="6"/>
      <c r="H7" s="7"/>
      <c r="I7" s="8" t="str">
        <f t="shared" si="0"/>
        <v/>
      </c>
    </row>
    <row r="8" spans="1:9">
      <c r="A8" s="52"/>
      <c r="B8" s="53"/>
      <c r="C8" s="54"/>
      <c r="D8" s="55"/>
      <c r="E8" s="56"/>
      <c r="F8" s="56"/>
      <c r="G8" s="6"/>
      <c r="H8" s="7"/>
      <c r="I8" s="8" t="str">
        <f t="shared" si="0"/>
        <v/>
      </c>
    </row>
    <row r="9" spans="1:9">
      <c r="A9" s="52"/>
      <c r="B9" s="53"/>
      <c r="C9" s="54"/>
      <c r="D9" s="55"/>
      <c r="E9" s="56"/>
      <c r="F9" s="56"/>
      <c r="G9" s="6"/>
      <c r="H9" s="7"/>
      <c r="I9" s="8" t="str">
        <f t="shared" si="0"/>
        <v/>
      </c>
    </row>
    <row r="10" spans="1:9">
      <c r="A10" s="52"/>
      <c r="B10" s="53"/>
      <c r="C10" s="54"/>
      <c r="D10" s="55"/>
      <c r="E10" s="56"/>
      <c r="F10" s="56"/>
      <c r="G10" s="6"/>
      <c r="H10" s="7"/>
      <c r="I10" s="8" t="str">
        <f t="shared" si="0"/>
        <v/>
      </c>
    </row>
    <row r="11" spans="1:9">
      <c r="A11" s="52"/>
      <c r="B11" s="53"/>
      <c r="C11" s="54"/>
      <c r="D11" s="55"/>
      <c r="E11" s="56"/>
      <c r="F11" s="56"/>
      <c r="G11" s="6"/>
      <c r="H11" s="7"/>
      <c r="I11" s="8" t="str">
        <f t="shared" si="0"/>
        <v/>
      </c>
    </row>
    <row r="12" spans="1:9">
      <c r="A12" s="52"/>
      <c r="B12" s="53"/>
      <c r="C12" s="54"/>
      <c r="D12" s="55"/>
      <c r="E12" s="56"/>
      <c r="F12" s="56"/>
      <c r="G12" s="6"/>
      <c r="H12" s="7"/>
      <c r="I12" s="8" t="str">
        <f t="shared" si="0"/>
        <v/>
      </c>
    </row>
    <row r="13" spans="1:9">
      <c r="A13" s="52"/>
      <c r="B13" s="53"/>
      <c r="C13" s="54"/>
      <c r="D13" s="55"/>
      <c r="E13" s="56"/>
      <c r="F13" s="56"/>
      <c r="G13" s="6"/>
      <c r="H13" s="7"/>
      <c r="I13" s="8" t="str">
        <f t="shared" si="0"/>
        <v/>
      </c>
    </row>
    <row r="14" spans="1:9">
      <c r="A14" s="52"/>
      <c r="B14" s="53"/>
      <c r="C14" s="54"/>
      <c r="D14" s="55"/>
      <c r="E14" s="56"/>
      <c r="F14" s="56"/>
      <c r="G14" s="6"/>
      <c r="H14" s="7"/>
      <c r="I14" s="8" t="str">
        <f t="shared" si="0"/>
        <v/>
      </c>
    </row>
    <row r="15" spans="1:9">
      <c r="A15" s="52"/>
      <c r="B15" s="53"/>
      <c r="C15" s="54"/>
      <c r="D15" s="55"/>
      <c r="E15" s="56"/>
      <c r="F15" s="56"/>
      <c r="G15" s="6"/>
      <c r="H15" s="7"/>
      <c r="I15" s="8" t="str">
        <f t="shared" si="0"/>
        <v/>
      </c>
    </row>
    <row r="16" spans="1:9">
      <c r="A16" s="52"/>
      <c r="B16" s="53"/>
      <c r="C16" s="54"/>
      <c r="D16" s="55"/>
      <c r="E16" s="56"/>
      <c r="F16" s="56"/>
      <c r="G16" s="6"/>
      <c r="H16" s="7"/>
      <c r="I16" s="8" t="str">
        <f t="shared" si="0"/>
        <v/>
      </c>
    </row>
    <row r="17" spans="1:11">
      <c r="A17" s="52"/>
      <c r="B17" s="53"/>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16</v>
      </c>
      <c r="B19" s="5" t="s">
        <v>17</v>
      </c>
      <c r="C19" s="4" t="s">
        <v>18</v>
      </c>
      <c r="D19" s="16" t="s">
        <v>19</v>
      </c>
      <c r="E19" s="17" t="s">
        <v>20</v>
      </c>
      <c r="F19" s="16" t="s">
        <v>21</v>
      </c>
      <c r="G19" s="49" t="s">
        <v>22</v>
      </c>
      <c r="H19" s="49"/>
      <c r="I19" s="18"/>
    </row>
    <row r="20" spans="1:11">
      <c r="A20" s="19">
        <f>IF(B20&lt;2,"N/A",(STDEV(H3:H17)))</f>
        <v>3.3419782784605725</v>
      </c>
      <c r="B20" s="19">
        <f>COUNT(H3:H17)</f>
        <v>4</v>
      </c>
      <c r="C20" s="20">
        <f>IF(B20&lt;2,"N/A",(A20/D20))</f>
        <v>0.73774354932904462</v>
      </c>
      <c r="D20" s="21">
        <f>ROUND(AVERAGE(H3:H17),2)</f>
        <v>4.53</v>
      </c>
      <c r="E20" s="22">
        <f>IFERROR(ROUND(IF(B20&lt;2,"N/A",(IF(C20&lt;=25%,"N/A",AVERAGE(I3:I17)))),2),"N/A")</f>
        <v>2.86</v>
      </c>
      <c r="F20" s="22">
        <f>ROUND(MEDIAN(H3:H17),2)</f>
        <v>3.03</v>
      </c>
      <c r="G20" s="23" t="str">
        <f>INDEX(G3:G17,MATCH(H20,H3:H17,0))</f>
        <v>H. C. CORDEIRO</v>
      </c>
      <c r="H20" s="24">
        <f>MIN(H3:H17)</f>
        <v>2.5155504500000001</v>
      </c>
      <c r="I20" s="18"/>
    </row>
    <row r="21" spans="1:11">
      <c r="A21" s="25"/>
      <c r="B21" s="18"/>
      <c r="C21" s="26"/>
      <c r="D21" s="26"/>
      <c r="E21" s="26"/>
      <c r="F21" s="26"/>
      <c r="G21" s="18"/>
      <c r="H21" s="27"/>
      <c r="I21" s="28"/>
      <c r="J21" s="28"/>
      <c r="K21" s="28"/>
    </row>
    <row r="22" spans="1:11">
      <c r="B22" s="25"/>
      <c r="C22" s="25"/>
      <c r="D22" s="50"/>
      <c r="E22" s="50"/>
      <c r="F22" s="30"/>
      <c r="G22" s="31" t="s">
        <v>23</v>
      </c>
      <c r="H22" s="32">
        <f>IF(C20&lt;=25%,D20,MIN(E20:F20))</f>
        <v>2.86</v>
      </c>
    </row>
    <row r="23" spans="1:11">
      <c r="B23" s="25"/>
      <c r="C23" s="25"/>
      <c r="D23" s="50"/>
      <c r="E23" s="50"/>
      <c r="F23" s="33"/>
      <c r="G23" s="4" t="s">
        <v>24</v>
      </c>
      <c r="H23" s="24">
        <f>ROUND(H22,2)*D3</f>
        <v>64350</v>
      </c>
    </row>
    <row r="24" spans="1:11">
      <c r="B24" s="29"/>
      <c r="C24" s="29"/>
      <c r="D24" s="18"/>
      <c r="E24" s="18"/>
    </row>
    <row r="26" spans="1:11" ht="12.75" customHeight="1">
      <c r="A26" s="47" t="s">
        <v>25</v>
      </c>
      <c r="B26" s="47"/>
      <c r="C26" s="47"/>
      <c r="D26" s="47"/>
      <c r="E26" s="47"/>
      <c r="F26" s="47"/>
      <c r="G26" s="47"/>
      <c r="H26" s="47"/>
      <c r="I26" s="47"/>
    </row>
    <row r="27" spans="1:11" ht="12.75" customHeight="1">
      <c r="A27" s="47" t="s">
        <v>26</v>
      </c>
      <c r="B27" s="47"/>
      <c r="C27" s="47"/>
      <c r="D27" s="47"/>
      <c r="E27" s="47"/>
      <c r="F27" s="47"/>
      <c r="G27" s="47"/>
      <c r="H27" s="47"/>
      <c r="I27" s="47"/>
    </row>
    <row r="28" spans="1:11" ht="12.75" customHeight="1">
      <c r="A28" s="47" t="s">
        <v>27</v>
      </c>
      <c r="B28" s="47"/>
      <c r="C28" s="47"/>
      <c r="D28" s="47"/>
      <c r="E28" s="47"/>
      <c r="F28" s="47"/>
      <c r="G28" s="47"/>
      <c r="H28" s="47"/>
      <c r="I28" s="47"/>
    </row>
    <row r="29" spans="1:11" ht="12.75" customHeight="1">
      <c r="A29" s="47" t="s">
        <v>28</v>
      </c>
      <c r="B29" s="47"/>
      <c r="C29" s="47"/>
      <c r="D29" s="47"/>
      <c r="E29" s="47"/>
      <c r="F29" s="47"/>
      <c r="G29" s="47"/>
      <c r="H29" s="47"/>
      <c r="I29" s="47"/>
    </row>
    <row r="30" spans="1:11" ht="12.75" customHeight="1">
      <c r="A30" s="47" t="s">
        <v>29</v>
      </c>
      <c r="B30" s="47"/>
      <c r="C30" s="47"/>
      <c r="D30" s="47"/>
      <c r="E30" s="47"/>
      <c r="F30" s="47"/>
      <c r="G30" s="47"/>
      <c r="H30" s="47"/>
      <c r="I30" s="47"/>
    </row>
    <row r="31" spans="1:11" ht="12.75" customHeight="1">
      <c r="A31" s="47" t="s">
        <v>30</v>
      </c>
      <c r="B31" s="47"/>
      <c r="C31" s="47"/>
      <c r="D31" s="47"/>
      <c r="E31" s="47"/>
      <c r="F31" s="47"/>
      <c r="G31" s="47"/>
      <c r="H31" s="47"/>
      <c r="I31" s="47"/>
    </row>
    <row r="32" spans="1:11" ht="24.75" customHeight="1">
      <c r="A32" s="48" t="s">
        <v>31</v>
      </c>
      <c r="B32" s="48"/>
      <c r="C32" s="48"/>
      <c r="D32" s="48"/>
      <c r="E32" s="48"/>
      <c r="F32" s="48"/>
      <c r="G32" s="48"/>
      <c r="H32" s="48"/>
      <c r="I32" s="48"/>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H8" sqref="H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51" t="s">
        <v>0</v>
      </c>
      <c r="B1" s="51"/>
      <c r="C1" s="51"/>
      <c r="D1" s="51"/>
      <c r="E1" s="51"/>
      <c r="F1" s="51"/>
      <c r="G1" s="51"/>
      <c r="H1" s="51"/>
      <c r="I1" s="51"/>
    </row>
    <row r="2" spans="1:9" ht="25.5">
      <c r="A2" s="52" t="s">
        <v>32</v>
      </c>
      <c r="B2" s="2" t="s">
        <v>2</v>
      </c>
      <c r="C2" s="2" t="s">
        <v>3</v>
      </c>
      <c r="D2" s="2" t="s">
        <v>4</v>
      </c>
      <c r="E2" s="3" t="s">
        <v>5</v>
      </c>
      <c r="F2" s="3" t="s">
        <v>6</v>
      </c>
      <c r="G2" s="2" t="s">
        <v>7</v>
      </c>
      <c r="H2" s="4" t="s">
        <v>8</v>
      </c>
      <c r="I2" s="5" t="s">
        <v>9</v>
      </c>
    </row>
    <row r="3" spans="1:9" ht="12.75" customHeight="1">
      <c r="A3" s="52"/>
      <c r="B3" s="57" t="s">
        <v>33</v>
      </c>
      <c r="C3" s="54" t="s">
        <v>11</v>
      </c>
      <c r="D3" s="55">
        <v>10000</v>
      </c>
      <c r="E3" s="56">
        <f>IF(C20&lt;=25%,D20,MIN(E20:F20))</f>
        <v>2.94</v>
      </c>
      <c r="F3" s="56">
        <f>MIN(H3:H17)</f>
        <v>2.4620280999999995</v>
      </c>
      <c r="G3" s="6" t="s">
        <v>34</v>
      </c>
      <c r="H3" s="7">
        <f>2.3*1.070447</f>
        <v>2.4620280999999995</v>
      </c>
      <c r="I3" s="8" t="str">
        <f t="shared" ref="I3:I17" si="0">IF(H3="","",(IF($C$20&lt;25%,"N/A",IF(H3&lt;=($D$20+$A$20),H3,"Descartado"))))</f>
        <v>N/A</v>
      </c>
    </row>
    <row r="4" spans="1:9">
      <c r="A4" s="52"/>
      <c r="B4" s="57"/>
      <c r="C4" s="54"/>
      <c r="D4" s="55"/>
      <c r="E4" s="56"/>
      <c r="F4" s="56"/>
      <c r="G4" s="6" t="s">
        <v>35</v>
      </c>
      <c r="H4" s="7">
        <f>2.52*1.070447</f>
        <v>2.6975264399999999</v>
      </c>
      <c r="I4" s="8" t="str">
        <f t="shared" si="0"/>
        <v>N/A</v>
      </c>
    </row>
    <row r="5" spans="1:9">
      <c r="A5" s="52"/>
      <c r="B5" s="57"/>
      <c r="C5" s="54"/>
      <c r="D5" s="55"/>
      <c r="E5" s="56"/>
      <c r="F5" s="56"/>
      <c r="G5" s="6" t="s">
        <v>36</v>
      </c>
      <c r="H5" s="7">
        <f>2.7*1.070447</f>
        <v>2.8902068999999999</v>
      </c>
      <c r="I5" s="8" t="str">
        <f t="shared" si="0"/>
        <v>N/A</v>
      </c>
    </row>
    <row r="6" spans="1:9">
      <c r="A6" s="52"/>
      <c r="B6" s="57"/>
      <c r="C6" s="54"/>
      <c r="D6" s="55"/>
      <c r="E6" s="56"/>
      <c r="F6" s="56"/>
      <c r="G6" s="6" t="s">
        <v>37</v>
      </c>
      <c r="H6" s="7">
        <f>2.97*1.070447</f>
        <v>3.17922759</v>
      </c>
      <c r="I6" s="8" t="str">
        <f t="shared" si="0"/>
        <v>N/A</v>
      </c>
    </row>
    <row r="7" spans="1:9">
      <c r="A7" s="52"/>
      <c r="B7" s="57"/>
      <c r="C7" s="54"/>
      <c r="D7" s="55"/>
      <c r="E7" s="56"/>
      <c r="F7" s="56"/>
      <c r="G7" s="6" t="s">
        <v>38</v>
      </c>
      <c r="H7" s="7">
        <f>3.25*1.070447</f>
        <v>3.4789527499999999</v>
      </c>
      <c r="I7" s="8" t="str">
        <f t="shared" si="0"/>
        <v>N/A</v>
      </c>
    </row>
    <row r="8" spans="1:9">
      <c r="A8" s="52"/>
      <c r="B8" s="57"/>
      <c r="C8" s="54"/>
      <c r="D8" s="55"/>
      <c r="E8" s="56"/>
      <c r="F8" s="56"/>
      <c r="G8" s="6"/>
      <c r="H8" s="7"/>
      <c r="I8" s="8" t="str">
        <f t="shared" si="0"/>
        <v/>
      </c>
    </row>
    <row r="9" spans="1:9">
      <c r="A9" s="52"/>
      <c r="B9" s="57"/>
      <c r="C9" s="54"/>
      <c r="D9" s="55"/>
      <c r="E9" s="56"/>
      <c r="F9" s="56"/>
      <c r="G9" s="6"/>
      <c r="H9" s="7"/>
      <c r="I9" s="8" t="str">
        <f t="shared" si="0"/>
        <v/>
      </c>
    </row>
    <row r="10" spans="1:9">
      <c r="A10" s="52"/>
      <c r="B10" s="57"/>
      <c r="C10" s="54"/>
      <c r="D10" s="55"/>
      <c r="E10" s="56"/>
      <c r="F10" s="56"/>
      <c r="G10" s="6"/>
      <c r="H10" s="7"/>
      <c r="I10" s="8" t="str">
        <f t="shared" si="0"/>
        <v/>
      </c>
    </row>
    <row r="11" spans="1:9">
      <c r="A11" s="52"/>
      <c r="B11" s="57"/>
      <c r="C11" s="54"/>
      <c r="D11" s="55"/>
      <c r="E11" s="56"/>
      <c r="F11" s="56"/>
      <c r="G11" s="6"/>
      <c r="H11" s="7"/>
      <c r="I11" s="8" t="str">
        <f t="shared" si="0"/>
        <v/>
      </c>
    </row>
    <row r="12" spans="1:9">
      <c r="A12" s="52"/>
      <c r="B12" s="57"/>
      <c r="C12" s="54"/>
      <c r="D12" s="55"/>
      <c r="E12" s="56"/>
      <c r="F12" s="56"/>
      <c r="G12" s="6"/>
      <c r="H12" s="7"/>
      <c r="I12" s="8" t="str">
        <f t="shared" si="0"/>
        <v/>
      </c>
    </row>
    <row r="13" spans="1:9">
      <c r="A13" s="52"/>
      <c r="B13" s="57"/>
      <c r="C13" s="54"/>
      <c r="D13" s="55"/>
      <c r="E13" s="56"/>
      <c r="F13" s="56"/>
      <c r="G13" s="6"/>
      <c r="H13" s="7"/>
      <c r="I13" s="8" t="str">
        <f t="shared" si="0"/>
        <v/>
      </c>
    </row>
    <row r="14" spans="1:9">
      <c r="A14" s="52"/>
      <c r="B14" s="57"/>
      <c r="C14" s="54"/>
      <c r="D14" s="55"/>
      <c r="E14" s="56"/>
      <c r="F14" s="56"/>
      <c r="G14" s="6"/>
      <c r="H14" s="7"/>
      <c r="I14" s="8" t="str">
        <f t="shared" si="0"/>
        <v/>
      </c>
    </row>
    <row r="15" spans="1:9">
      <c r="A15" s="52"/>
      <c r="B15" s="57"/>
      <c r="C15" s="54"/>
      <c r="D15" s="55"/>
      <c r="E15" s="56"/>
      <c r="F15" s="56"/>
      <c r="G15" s="6"/>
      <c r="H15" s="7"/>
      <c r="I15" s="8" t="str">
        <f t="shared" si="0"/>
        <v/>
      </c>
    </row>
    <row r="16" spans="1:9">
      <c r="A16" s="52"/>
      <c r="B16" s="57"/>
      <c r="C16" s="54"/>
      <c r="D16" s="55"/>
      <c r="E16" s="56"/>
      <c r="F16" s="56"/>
      <c r="G16" s="6"/>
      <c r="H16" s="7"/>
      <c r="I16" s="8" t="str">
        <f t="shared" si="0"/>
        <v/>
      </c>
    </row>
    <row r="17" spans="1:11">
      <c r="A17" s="52"/>
      <c r="B17" s="57"/>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16</v>
      </c>
      <c r="B19" s="5" t="s">
        <v>17</v>
      </c>
      <c r="C19" s="4" t="s">
        <v>18</v>
      </c>
      <c r="D19" s="16" t="s">
        <v>19</v>
      </c>
      <c r="E19" s="17" t="s">
        <v>20</v>
      </c>
      <c r="F19" s="16" t="s">
        <v>21</v>
      </c>
      <c r="G19" s="49" t="s">
        <v>22</v>
      </c>
      <c r="H19" s="49"/>
      <c r="I19" s="18"/>
    </row>
    <row r="20" spans="1:11">
      <c r="A20" s="19">
        <f>IF(B20&lt;2,"N/A",(STDEV(H3:H17)))</f>
        <v>0.39919206200529189</v>
      </c>
      <c r="B20" s="19">
        <f>COUNT(H3:H17)</f>
        <v>5</v>
      </c>
      <c r="C20" s="20">
        <f>IF(B20&lt;2,"N/A",(A20/D20))</f>
        <v>0.13577961292697002</v>
      </c>
      <c r="D20" s="21">
        <f>ROUND(AVERAGE(H3:H17),2)</f>
        <v>2.94</v>
      </c>
      <c r="E20" s="22" t="str">
        <f>IFERROR(ROUND(IF(B20&lt;2,"N/A",(IF(C20&lt;=25%,"N/A",AVERAGE(I3:I17)))),2),"N/A")</f>
        <v>N/A</v>
      </c>
      <c r="F20" s="22">
        <f>ROUND(MEDIAN(H3:H17),2)</f>
        <v>2.89</v>
      </c>
      <c r="G20" s="23" t="str">
        <f>INDEX(G3:G17,MATCH(H20,H3:H17,0))</f>
        <v>GRAFICA E EDITORA LUAR EIRELI</v>
      </c>
      <c r="H20" s="24">
        <f>MIN(H3:H17)</f>
        <v>2.4620280999999995</v>
      </c>
      <c r="I20" s="18"/>
    </row>
    <row r="21" spans="1:11">
      <c r="A21" s="25"/>
      <c r="B21" s="18"/>
      <c r="C21" s="26"/>
      <c r="D21" s="26"/>
      <c r="E21" s="26"/>
      <c r="F21" s="26"/>
      <c r="G21" s="18"/>
      <c r="H21" s="27"/>
      <c r="I21" s="28"/>
      <c r="J21" s="28"/>
      <c r="K21" s="28"/>
    </row>
    <row r="22" spans="1:11">
      <c r="B22" s="25"/>
      <c r="C22" s="25"/>
      <c r="D22" s="50"/>
      <c r="E22" s="50"/>
      <c r="F22" s="30"/>
      <c r="G22" s="31" t="s">
        <v>23</v>
      </c>
      <c r="H22" s="32">
        <f>IF(C20&lt;=25%,D20,MIN(E20:F20))</f>
        <v>2.94</v>
      </c>
    </row>
    <row r="23" spans="1:11">
      <c r="B23" s="25"/>
      <c r="C23" s="25"/>
      <c r="D23" s="50"/>
      <c r="E23" s="50"/>
      <c r="F23" s="33"/>
      <c r="G23" s="4" t="s">
        <v>24</v>
      </c>
      <c r="H23" s="24">
        <f>ROUND(H22,2)*D3</f>
        <v>29400</v>
      </c>
    </row>
    <row r="24" spans="1:11">
      <c r="B24" s="29"/>
      <c r="C24" s="29"/>
      <c r="D24" s="18"/>
      <c r="E24" s="18"/>
    </row>
    <row r="26" spans="1:11" ht="12.75" customHeight="1">
      <c r="A26" s="47" t="s">
        <v>25</v>
      </c>
      <c r="B26" s="47"/>
      <c r="C26" s="47"/>
      <c r="D26" s="47"/>
      <c r="E26" s="47"/>
      <c r="F26" s="47"/>
      <c r="G26" s="47"/>
      <c r="H26" s="47"/>
      <c r="I26" s="47"/>
    </row>
    <row r="27" spans="1:11" ht="12.75" customHeight="1">
      <c r="A27" s="47" t="s">
        <v>26</v>
      </c>
      <c r="B27" s="47"/>
      <c r="C27" s="47"/>
      <c r="D27" s="47"/>
      <c r="E27" s="47"/>
      <c r="F27" s="47"/>
      <c r="G27" s="47"/>
      <c r="H27" s="47"/>
      <c r="I27" s="47"/>
    </row>
    <row r="28" spans="1:11" ht="12.75" customHeight="1">
      <c r="A28" s="47" t="s">
        <v>27</v>
      </c>
      <c r="B28" s="47"/>
      <c r="C28" s="47"/>
      <c r="D28" s="47"/>
      <c r="E28" s="47"/>
      <c r="F28" s="47"/>
      <c r="G28" s="47"/>
      <c r="H28" s="47"/>
      <c r="I28" s="47"/>
    </row>
    <row r="29" spans="1:11" ht="12.75" customHeight="1">
      <c r="A29" s="47" t="s">
        <v>28</v>
      </c>
      <c r="B29" s="47"/>
      <c r="C29" s="47"/>
      <c r="D29" s="47"/>
      <c r="E29" s="47"/>
      <c r="F29" s="47"/>
      <c r="G29" s="47"/>
      <c r="H29" s="47"/>
      <c r="I29" s="47"/>
    </row>
    <row r="30" spans="1:11" ht="12.75" customHeight="1">
      <c r="A30" s="47" t="s">
        <v>29</v>
      </c>
      <c r="B30" s="47"/>
      <c r="C30" s="47"/>
      <c r="D30" s="47"/>
      <c r="E30" s="47"/>
      <c r="F30" s="47"/>
      <c r="G30" s="47"/>
      <c r="H30" s="47"/>
      <c r="I30" s="47"/>
    </row>
    <row r="31" spans="1:11" ht="12.75" customHeight="1">
      <c r="A31" s="47" t="s">
        <v>30</v>
      </c>
      <c r="B31" s="47"/>
      <c r="C31" s="47"/>
      <c r="D31" s="47"/>
      <c r="E31" s="47"/>
      <c r="F31" s="47"/>
      <c r="G31" s="47"/>
      <c r="H31" s="47"/>
      <c r="I31" s="47"/>
    </row>
    <row r="32" spans="1:11" ht="24.75" customHeight="1">
      <c r="A32" s="48" t="s">
        <v>31</v>
      </c>
      <c r="B32" s="48"/>
      <c r="C32" s="48"/>
      <c r="D32" s="48"/>
      <c r="E32" s="48"/>
      <c r="F32" s="48"/>
      <c r="G32" s="48"/>
      <c r="H32" s="48"/>
      <c r="I32" s="48"/>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H11" sqref="H11"/>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51" t="s">
        <v>0</v>
      </c>
      <c r="B1" s="51"/>
      <c r="C1" s="51"/>
      <c r="D1" s="51"/>
      <c r="E1" s="51"/>
      <c r="F1" s="51"/>
      <c r="G1" s="51"/>
      <c r="H1" s="51"/>
      <c r="I1" s="51"/>
    </row>
    <row r="2" spans="1:9" ht="25.5">
      <c r="A2" s="52" t="s">
        <v>148</v>
      </c>
      <c r="B2" s="2" t="s">
        <v>2</v>
      </c>
      <c r="C2" s="2" t="s">
        <v>3</v>
      </c>
      <c r="D2" s="2" t="s">
        <v>4</v>
      </c>
      <c r="E2" s="3" t="s">
        <v>5</v>
      </c>
      <c r="F2" s="3" t="s">
        <v>6</v>
      </c>
      <c r="G2" s="2" t="s">
        <v>7</v>
      </c>
      <c r="H2" s="4" t="s">
        <v>8</v>
      </c>
      <c r="I2" s="5" t="s">
        <v>9</v>
      </c>
    </row>
    <row r="3" spans="1:9" ht="12.75" customHeight="1">
      <c r="A3" s="52"/>
      <c r="B3" s="57" t="s">
        <v>149</v>
      </c>
      <c r="C3" s="54" t="s">
        <v>41</v>
      </c>
      <c r="D3" s="55">
        <f>20000*0.75</f>
        <v>15000</v>
      </c>
      <c r="E3" s="56">
        <f>IF(C20&lt;=25%,D20,MIN(E20:F20))</f>
        <v>4.68</v>
      </c>
      <c r="F3" s="56">
        <f>MIN(H3:H17)</f>
        <v>1.5949660299999999</v>
      </c>
      <c r="G3" s="6" t="s">
        <v>57</v>
      </c>
      <c r="H3" s="7">
        <f>1.49*1.070447</f>
        <v>1.5949660299999999</v>
      </c>
      <c r="I3" s="8">
        <f t="shared" ref="I3:I17" si="0">IF(H3="","",(IF($C$20&lt;25%,"N/A",IF(H3&lt;=($D$20+$A$20),H3,"Descartado"))))</f>
        <v>1.5949660299999999</v>
      </c>
    </row>
    <row r="4" spans="1:9">
      <c r="A4" s="52"/>
      <c r="B4" s="57"/>
      <c r="C4" s="54"/>
      <c r="D4" s="55"/>
      <c r="E4" s="56"/>
      <c r="F4" s="56"/>
      <c r="G4" s="6" t="s">
        <v>58</v>
      </c>
      <c r="H4" s="7">
        <f>9*1.070447</f>
        <v>9.6340229999999991</v>
      </c>
      <c r="I4" s="8" t="str">
        <f t="shared" si="0"/>
        <v>Descartado</v>
      </c>
    </row>
    <row r="5" spans="1:9">
      <c r="A5" s="52"/>
      <c r="B5" s="57"/>
      <c r="C5" s="54"/>
      <c r="D5" s="55"/>
      <c r="E5" s="56"/>
      <c r="F5" s="56"/>
      <c r="G5" s="6" t="s">
        <v>59</v>
      </c>
      <c r="H5" s="7">
        <f>5.65*1.070447</f>
        <v>6.0480255500000002</v>
      </c>
      <c r="I5" s="8">
        <f t="shared" si="0"/>
        <v>6.0480255500000002</v>
      </c>
    </row>
    <row r="6" spans="1:9">
      <c r="A6" s="52"/>
      <c r="B6" s="57"/>
      <c r="C6" s="54"/>
      <c r="D6" s="55"/>
      <c r="E6" s="56"/>
      <c r="F6" s="56"/>
      <c r="G6" s="6" t="s">
        <v>60</v>
      </c>
      <c r="H6" s="7">
        <f>3.95*1.070447</f>
        <v>4.22826565</v>
      </c>
      <c r="I6" s="8">
        <f t="shared" si="0"/>
        <v>4.22826565</v>
      </c>
    </row>
    <row r="7" spans="1:9">
      <c r="A7" s="52"/>
      <c r="B7" s="57"/>
      <c r="C7" s="54"/>
      <c r="D7" s="55"/>
      <c r="E7" s="56"/>
      <c r="F7" s="56"/>
      <c r="G7" s="6" t="s">
        <v>61</v>
      </c>
      <c r="H7" s="7">
        <f>2.2*1.070447</f>
        <v>2.3549834000000001</v>
      </c>
      <c r="I7" s="8">
        <f t="shared" si="0"/>
        <v>2.3549834000000001</v>
      </c>
    </row>
    <row r="8" spans="1:9">
      <c r="A8" s="52"/>
      <c r="B8" s="57"/>
      <c r="C8" s="54"/>
      <c r="D8" s="55"/>
      <c r="E8" s="56"/>
      <c r="F8" s="56"/>
      <c r="G8" s="6" t="s">
        <v>62</v>
      </c>
      <c r="H8" s="7">
        <f>6.1*1.070447</f>
        <v>6.5297266999999994</v>
      </c>
      <c r="I8" s="8">
        <f t="shared" si="0"/>
        <v>6.5297266999999994</v>
      </c>
    </row>
    <row r="9" spans="1:9">
      <c r="A9" s="52"/>
      <c r="B9" s="57"/>
      <c r="C9" s="54"/>
      <c r="D9" s="55"/>
      <c r="E9" s="56"/>
      <c r="F9" s="56"/>
      <c r="G9" s="6" t="s">
        <v>63</v>
      </c>
      <c r="H9" s="7">
        <f>4.66*1.070447</f>
        <v>4.9882830199999999</v>
      </c>
      <c r="I9" s="8">
        <f t="shared" si="0"/>
        <v>4.9882830199999999</v>
      </c>
    </row>
    <row r="10" spans="1:9">
      <c r="A10" s="52"/>
      <c r="B10" s="57"/>
      <c r="C10" s="54"/>
      <c r="D10" s="55"/>
      <c r="E10" s="56"/>
      <c r="F10" s="56"/>
      <c r="G10" s="6" t="s">
        <v>64</v>
      </c>
      <c r="H10" s="7">
        <f>6.53*1.070447</f>
        <v>6.9900189099999999</v>
      </c>
      <c r="I10" s="8">
        <f t="shared" si="0"/>
        <v>6.9900189099999999</v>
      </c>
    </row>
    <row r="11" spans="1:9">
      <c r="A11" s="52"/>
      <c r="B11" s="57"/>
      <c r="C11" s="54"/>
      <c r="D11" s="55"/>
      <c r="E11" s="56"/>
      <c r="F11" s="56"/>
      <c r="G11" s="6"/>
      <c r="H11" s="7"/>
      <c r="I11" s="8" t="str">
        <f t="shared" si="0"/>
        <v/>
      </c>
    </row>
    <row r="12" spans="1:9">
      <c r="A12" s="52"/>
      <c r="B12" s="57"/>
      <c r="C12" s="54"/>
      <c r="D12" s="55"/>
      <c r="E12" s="56"/>
      <c r="F12" s="56"/>
      <c r="G12" s="6"/>
      <c r="H12" s="7"/>
      <c r="I12" s="8" t="str">
        <f t="shared" si="0"/>
        <v/>
      </c>
    </row>
    <row r="13" spans="1:9">
      <c r="A13" s="52"/>
      <c r="B13" s="57"/>
      <c r="C13" s="54"/>
      <c r="D13" s="55"/>
      <c r="E13" s="56"/>
      <c r="F13" s="56"/>
      <c r="G13" s="6"/>
      <c r="H13" s="7"/>
      <c r="I13" s="8" t="str">
        <f t="shared" si="0"/>
        <v/>
      </c>
    </row>
    <row r="14" spans="1:9">
      <c r="A14" s="52"/>
      <c r="B14" s="57"/>
      <c r="C14" s="54"/>
      <c r="D14" s="55"/>
      <c r="E14" s="56"/>
      <c r="F14" s="56"/>
      <c r="G14" s="6"/>
      <c r="H14" s="7"/>
      <c r="I14" s="8" t="str">
        <f t="shared" si="0"/>
        <v/>
      </c>
    </row>
    <row r="15" spans="1:9">
      <c r="A15" s="52"/>
      <c r="B15" s="57"/>
      <c r="C15" s="54"/>
      <c r="D15" s="55"/>
      <c r="E15" s="56"/>
      <c r="F15" s="56"/>
      <c r="G15" s="6"/>
      <c r="H15" s="7"/>
      <c r="I15" s="8" t="str">
        <f t="shared" si="0"/>
        <v/>
      </c>
    </row>
    <row r="16" spans="1:9">
      <c r="A16" s="52"/>
      <c r="B16" s="57"/>
      <c r="C16" s="54"/>
      <c r="D16" s="55"/>
      <c r="E16" s="56"/>
      <c r="F16" s="56"/>
      <c r="G16" s="6"/>
      <c r="H16" s="7"/>
      <c r="I16" s="8" t="str">
        <f t="shared" si="0"/>
        <v/>
      </c>
    </row>
    <row r="17" spans="1:11">
      <c r="A17" s="52"/>
      <c r="B17" s="57"/>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16</v>
      </c>
      <c r="B19" s="5" t="s">
        <v>17</v>
      </c>
      <c r="C19" s="4" t="s">
        <v>18</v>
      </c>
      <c r="D19" s="16" t="s">
        <v>19</v>
      </c>
      <c r="E19" s="17" t="s">
        <v>20</v>
      </c>
      <c r="F19" s="16" t="s">
        <v>21</v>
      </c>
      <c r="G19" s="49" t="s">
        <v>22</v>
      </c>
      <c r="H19" s="49"/>
      <c r="I19" s="18"/>
    </row>
    <row r="20" spans="1:11">
      <c r="A20" s="19">
        <f>IF(B20&lt;2,"N/A",(STDEV(H3:H17)))</f>
        <v>2.6010367458807964</v>
      </c>
      <c r="B20" s="19">
        <f>COUNT(H3:H17)</f>
        <v>8</v>
      </c>
      <c r="C20" s="20">
        <f>IF(B20&lt;2,"N/A",(A20/D20))</f>
        <v>0.490761650166188</v>
      </c>
      <c r="D20" s="21">
        <f>ROUND(AVERAGE(H3:H17),2)</f>
        <v>5.3</v>
      </c>
      <c r="E20" s="22">
        <f>IFERROR(ROUND(IF(B20&lt;2,"N/A",(IF(C20&lt;=25%,"N/A",AVERAGE(I3:I17)))),2),"N/A")</f>
        <v>4.68</v>
      </c>
      <c r="F20" s="22">
        <f>ROUND(MEDIAN(H3:H17),2)</f>
        <v>5.52</v>
      </c>
      <c r="G20" s="23" t="str">
        <f>INDEX(G3:G17,MATCH(H20,H3:H17,0))</f>
        <v>RAFA PAPER DISTRIBUIDORA EIRELI</v>
      </c>
      <c r="H20" s="24">
        <f>MIN(H3:H17)</f>
        <v>1.5949660299999999</v>
      </c>
      <c r="I20" s="18"/>
    </row>
    <row r="21" spans="1:11">
      <c r="A21" s="25"/>
      <c r="B21" s="18"/>
      <c r="C21" s="26"/>
      <c r="D21" s="26"/>
      <c r="E21" s="26"/>
      <c r="F21" s="26"/>
      <c r="G21" s="18"/>
      <c r="H21" s="27"/>
      <c r="I21" s="28"/>
      <c r="J21" s="28"/>
      <c r="K21" s="28"/>
    </row>
    <row r="22" spans="1:11">
      <c r="B22" s="25"/>
      <c r="C22" s="25"/>
      <c r="D22" s="50"/>
      <c r="E22" s="50"/>
      <c r="F22" s="30"/>
      <c r="G22" s="31" t="s">
        <v>23</v>
      </c>
      <c r="H22" s="32">
        <f>IF(C20&lt;=25%,D20,MIN(E20:F20))</f>
        <v>4.68</v>
      </c>
    </row>
    <row r="23" spans="1:11">
      <c r="B23" s="25"/>
      <c r="C23" s="25"/>
      <c r="D23" s="50"/>
      <c r="E23" s="50"/>
      <c r="F23" s="33"/>
      <c r="G23" s="4" t="s">
        <v>24</v>
      </c>
      <c r="H23" s="24">
        <f>ROUND(H22,2)*D3</f>
        <v>70200</v>
      </c>
    </row>
    <row r="24" spans="1:11">
      <c r="B24" s="29"/>
      <c r="C24" s="29"/>
      <c r="D24" s="18"/>
      <c r="E24" s="18"/>
    </row>
    <row r="26" spans="1:11" ht="12.75" customHeight="1">
      <c r="A26" s="47" t="s">
        <v>25</v>
      </c>
      <c r="B26" s="47"/>
      <c r="C26" s="47"/>
      <c r="D26" s="47"/>
      <c r="E26" s="47"/>
      <c r="F26" s="47"/>
      <c r="G26" s="47"/>
      <c r="H26" s="47"/>
      <c r="I26" s="47"/>
    </row>
    <row r="27" spans="1:11" ht="12.75" customHeight="1">
      <c r="A27" s="47" t="s">
        <v>26</v>
      </c>
      <c r="B27" s="47"/>
      <c r="C27" s="47"/>
      <c r="D27" s="47"/>
      <c r="E27" s="47"/>
      <c r="F27" s="47"/>
      <c r="G27" s="47"/>
      <c r="H27" s="47"/>
      <c r="I27" s="47"/>
    </row>
    <row r="28" spans="1:11" ht="12.75" customHeight="1">
      <c r="A28" s="47" t="s">
        <v>27</v>
      </c>
      <c r="B28" s="47"/>
      <c r="C28" s="47"/>
      <c r="D28" s="47"/>
      <c r="E28" s="47"/>
      <c r="F28" s="47"/>
      <c r="G28" s="47"/>
      <c r="H28" s="47"/>
      <c r="I28" s="47"/>
    </row>
    <row r="29" spans="1:11" ht="12.75" customHeight="1">
      <c r="A29" s="47" t="s">
        <v>28</v>
      </c>
      <c r="B29" s="47"/>
      <c r="C29" s="47"/>
      <c r="D29" s="47"/>
      <c r="E29" s="47"/>
      <c r="F29" s="47"/>
      <c r="G29" s="47"/>
      <c r="H29" s="47"/>
      <c r="I29" s="47"/>
    </row>
    <row r="30" spans="1:11" ht="12.75" customHeight="1">
      <c r="A30" s="47" t="s">
        <v>29</v>
      </c>
      <c r="B30" s="47"/>
      <c r="C30" s="47"/>
      <c r="D30" s="47"/>
      <c r="E30" s="47"/>
      <c r="F30" s="47"/>
      <c r="G30" s="47"/>
      <c r="H30" s="47"/>
      <c r="I30" s="47"/>
    </row>
    <row r="31" spans="1:11" ht="12.75" customHeight="1">
      <c r="A31" s="47" t="s">
        <v>30</v>
      </c>
      <c r="B31" s="47"/>
      <c r="C31" s="47"/>
      <c r="D31" s="47"/>
      <c r="E31" s="47"/>
      <c r="F31" s="47"/>
      <c r="G31" s="47"/>
      <c r="H31" s="47"/>
      <c r="I31" s="47"/>
    </row>
    <row r="32" spans="1:11" ht="24.75" customHeight="1">
      <c r="A32" s="48" t="s">
        <v>31</v>
      </c>
      <c r="B32" s="48"/>
      <c r="C32" s="48"/>
      <c r="D32" s="48"/>
      <c r="E32" s="48"/>
      <c r="F32" s="48"/>
      <c r="G32" s="48"/>
      <c r="H32" s="48"/>
      <c r="I32" s="48"/>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H9" sqref="H9"/>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51" t="s">
        <v>0</v>
      </c>
      <c r="B1" s="51"/>
      <c r="C1" s="51"/>
      <c r="D1" s="51"/>
      <c r="E1" s="51"/>
      <c r="F1" s="51"/>
      <c r="G1" s="51"/>
      <c r="H1" s="51"/>
      <c r="I1" s="51"/>
    </row>
    <row r="2" spans="1:9" ht="25.5">
      <c r="A2" s="52" t="s">
        <v>150</v>
      </c>
      <c r="B2" s="2" t="s">
        <v>2</v>
      </c>
      <c r="C2" s="2" t="s">
        <v>3</v>
      </c>
      <c r="D2" s="2" t="s">
        <v>4</v>
      </c>
      <c r="E2" s="3" t="s">
        <v>5</v>
      </c>
      <c r="F2" s="3" t="s">
        <v>6</v>
      </c>
      <c r="G2" s="2" t="s">
        <v>7</v>
      </c>
      <c r="H2" s="4" t="s">
        <v>8</v>
      </c>
      <c r="I2" s="5" t="s">
        <v>9</v>
      </c>
    </row>
    <row r="3" spans="1:9" ht="12.75" customHeight="1">
      <c r="A3" s="52"/>
      <c r="B3" s="57" t="s">
        <v>66</v>
      </c>
      <c r="C3" s="54" t="s">
        <v>41</v>
      </c>
      <c r="D3" s="55">
        <f>40000*0.75</f>
        <v>30000</v>
      </c>
      <c r="E3" s="56">
        <f>IF(C20&lt;=25%,D20,MIN(E20:F20))</f>
        <v>5.35</v>
      </c>
      <c r="F3" s="56">
        <f>MIN(H3:H17)</f>
        <v>3.6395197999999995</v>
      </c>
      <c r="G3" s="6" t="s">
        <v>67</v>
      </c>
      <c r="H3" s="7">
        <f>6*1.070447</f>
        <v>6.422682</v>
      </c>
      <c r="I3" s="8">
        <f t="shared" ref="I3:I17" si="0">IF(H3="","",(IF($C$20&lt;25%,"N/A",IF(H3&lt;=($D$20+$A$20),H3,"Descartado"))))</f>
        <v>6.422682</v>
      </c>
    </row>
    <row r="4" spans="1:9">
      <c r="A4" s="52"/>
      <c r="B4" s="57"/>
      <c r="C4" s="54"/>
      <c r="D4" s="55"/>
      <c r="E4" s="56"/>
      <c r="F4" s="56"/>
      <c r="G4" s="6" t="s">
        <v>68</v>
      </c>
      <c r="H4" s="7">
        <f>5.01*1.070447</f>
        <v>5.3629394699999997</v>
      </c>
      <c r="I4" s="8">
        <f t="shared" si="0"/>
        <v>5.3629394699999997</v>
      </c>
    </row>
    <row r="5" spans="1:9">
      <c r="A5" s="52"/>
      <c r="B5" s="57"/>
      <c r="C5" s="54"/>
      <c r="D5" s="55"/>
      <c r="E5" s="56"/>
      <c r="F5" s="56"/>
      <c r="G5" s="6" t="s">
        <v>60</v>
      </c>
      <c r="H5" s="7">
        <f>6.84*1.070447</f>
        <v>7.3218574799999994</v>
      </c>
      <c r="I5" s="8" t="str">
        <f t="shared" si="0"/>
        <v>Descartado</v>
      </c>
    </row>
    <row r="6" spans="1:9">
      <c r="A6" s="52"/>
      <c r="B6" s="57"/>
      <c r="C6" s="54"/>
      <c r="D6" s="55"/>
      <c r="E6" s="56"/>
      <c r="F6" s="56"/>
      <c r="G6" s="6" t="s">
        <v>69</v>
      </c>
      <c r="H6" s="7">
        <f>4.04*1.070447</f>
        <v>4.32460588</v>
      </c>
      <c r="I6" s="8">
        <f t="shared" si="0"/>
        <v>4.32460588</v>
      </c>
    </row>
    <row r="7" spans="1:9">
      <c r="A7" s="52"/>
      <c r="B7" s="57"/>
      <c r="C7" s="54"/>
      <c r="D7" s="55"/>
      <c r="E7" s="56"/>
      <c r="F7" s="56"/>
      <c r="G7" s="6" t="s">
        <v>70</v>
      </c>
      <c r="H7" s="7">
        <f>6.55*1.070447</f>
        <v>7.0114278499999996</v>
      </c>
      <c r="I7" s="8">
        <f t="shared" si="0"/>
        <v>7.0114278499999996</v>
      </c>
    </row>
    <row r="8" spans="1:9">
      <c r="A8" s="52"/>
      <c r="B8" s="57"/>
      <c r="C8" s="54"/>
      <c r="D8" s="55"/>
      <c r="E8" s="56"/>
      <c r="F8" s="56"/>
      <c r="G8" s="6" t="s">
        <v>71</v>
      </c>
      <c r="H8" s="7">
        <f>3.4*1.070447</f>
        <v>3.6395197999999995</v>
      </c>
      <c r="I8" s="8">
        <f t="shared" si="0"/>
        <v>3.6395197999999995</v>
      </c>
    </row>
    <row r="9" spans="1:9">
      <c r="A9" s="52"/>
      <c r="B9" s="57"/>
      <c r="C9" s="54"/>
      <c r="D9" s="55"/>
      <c r="E9" s="56"/>
      <c r="F9" s="56"/>
      <c r="G9" s="6"/>
      <c r="H9" s="7"/>
      <c r="I9" s="8" t="str">
        <f t="shared" si="0"/>
        <v/>
      </c>
    </row>
    <row r="10" spans="1:9">
      <c r="A10" s="52"/>
      <c r="B10" s="57"/>
      <c r="C10" s="54"/>
      <c r="D10" s="55"/>
      <c r="E10" s="56"/>
      <c r="F10" s="56"/>
      <c r="G10" s="6"/>
      <c r="H10" s="7"/>
      <c r="I10" s="8" t="str">
        <f t="shared" si="0"/>
        <v/>
      </c>
    </row>
    <row r="11" spans="1:9">
      <c r="A11" s="52"/>
      <c r="B11" s="57"/>
      <c r="C11" s="54"/>
      <c r="D11" s="55"/>
      <c r="E11" s="56"/>
      <c r="F11" s="56"/>
      <c r="G11" s="6"/>
      <c r="H11" s="7"/>
      <c r="I11" s="8" t="str">
        <f t="shared" si="0"/>
        <v/>
      </c>
    </row>
    <row r="12" spans="1:9">
      <c r="A12" s="52"/>
      <c r="B12" s="57"/>
      <c r="C12" s="54"/>
      <c r="D12" s="55"/>
      <c r="E12" s="56"/>
      <c r="F12" s="56"/>
      <c r="G12" s="6"/>
      <c r="H12" s="7"/>
      <c r="I12" s="8" t="str">
        <f t="shared" si="0"/>
        <v/>
      </c>
    </row>
    <row r="13" spans="1:9">
      <c r="A13" s="52"/>
      <c r="B13" s="57"/>
      <c r="C13" s="54"/>
      <c r="D13" s="55"/>
      <c r="E13" s="56"/>
      <c r="F13" s="56"/>
      <c r="G13" s="6"/>
      <c r="H13" s="7"/>
      <c r="I13" s="8" t="str">
        <f t="shared" si="0"/>
        <v/>
      </c>
    </row>
    <row r="14" spans="1:9">
      <c r="A14" s="52"/>
      <c r="B14" s="57"/>
      <c r="C14" s="54"/>
      <c r="D14" s="55"/>
      <c r="E14" s="56"/>
      <c r="F14" s="56"/>
      <c r="G14" s="6"/>
      <c r="H14" s="7"/>
      <c r="I14" s="8" t="str">
        <f t="shared" si="0"/>
        <v/>
      </c>
    </row>
    <row r="15" spans="1:9">
      <c r="A15" s="52"/>
      <c r="B15" s="57"/>
      <c r="C15" s="54"/>
      <c r="D15" s="55"/>
      <c r="E15" s="56"/>
      <c r="F15" s="56"/>
      <c r="G15" s="6"/>
      <c r="H15" s="7"/>
      <c r="I15" s="8" t="str">
        <f t="shared" si="0"/>
        <v/>
      </c>
    </row>
    <row r="16" spans="1:9">
      <c r="A16" s="52"/>
      <c r="B16" s="57"/>
      <c r="C16" s="54"/>
      <c r="D16" s="55"/>
      <c r="E16" s="56"/>
      <c r="F16" s="56"/>
      <c r="G16" s="6"/>
      <c r="H16" s="7"/>
      <c r="I16" s="8" t="str">
        <f t="shared" si="0"/>
        <v/>
      </c>
    </row>
    <row r="17" spans="1:11">
      <c r="A17" s="52"/>
      <c r="B17" s="57"/>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16</v>
      </c>
      <c r="B19" s="5" t="s">
        <v>17</v>
      </c>
      <c r="C19" s="4" t="s">
        <v>18</v>
      </c>
      <c r="D19" s="16" t="s">
        <v>19</v>
      </c>
      <c r="E19" s="17" t="s">
        <v>20</v>
      </c>
      <c r="F19" s="16" t="s">
        <v>21</v>
      </c>
      <c r="G19" s="49" t="s">
        <v>22</v>
      </c>
      <c r="H19" s="49"/>
      <c r="I19" s="18"/>
    </row>
    <row r="20" spans="1:11">
      <c r="A20" s="19">
        <f>IF(B20&lt;2,"N/A",(STDEV(H3:H17)))</f>
        <v>1.4913853406589634</v>
      </c>
      <c r="B20" s="19">
        <f>COUNT(H3:H17)</f>
        <v>6</v>
      </c>
      <c r="C20" s="20">
        <f>IF(B20&lt;2,"N/A",(A20/D20))</f>
        <v>0.2625678416653105</v>
      </c>
      <c r="D20" s="21">
        <f>ROUND(AVERAGE(H3:H17),2)</f>
        <v>5.68</v>
      </c>
      <c r="E20" s="22">
        <f>IFERROR(ROUND(IF(B20&lt;2,"N/A",(IF(C20&lt;=25%,"N/A",AVERAGE(I3:I17)))),2),"N/A")</f>
        <v>5.35</v>
      </c>
      <c r="F20" s="22">
        <f>ROUND(MEDIAN(H3:H17),2)</f>
        <v>5.89</v>
      </c>
      <c r="G20" s="23" t="str">
        <f>INDEX(G3:G17,MATCH(H20,H3:H17,0))</f>
        <v>MARILANA STEFANINI MESSA 30003195813</v>
      </c>
      <c r="H20" s="24">
        <f>MIN(H3:H17)</f>
        <v>3.6395197999999995</v>
      </c>
      <c r="I20" s="18"/>
    </row>
    <row r="21" spans="1:11">
      <c r="A21" s="25"/>
      <c r="B21" s="18"/>
      <c r="C21" s="26"/>
      <c r="D21" s="26"/>
      <c r="E21" s="26"/>
      <c r="F21" s="26"/>
      <c r="G21" s="18"/>
      <c r="H21" s="27"/>
      <c r="I21" s="28"/>
      <c r="J21" s="28"/>
      <c r="K21" s="28"/>
    </row>
    <row r="22" spans="1:11">
      <c r="B22" s="25"/>
      <c r="C22" s="25"/>
      <c r="D22" s="50"/>
      <c r="E22" s="50"/>
      <c r="F22" s="30"/>
      <c r="G22" s="31" t="s">
        <v>23</v>
      </c>
      <c r="H22" s="32">
        <f>IF(C20&lt;=25%,D20,MIN(E20:F20))</f>
        <v>5.35</v>
      </c>
    </row>
    <row r="23" spans="1:11">
      <c r="B23" s="25"/>
      <c r="C23" s="25"/>
      <c r="D23" s="50"/>
      <c r="E23" s="50"/>
      <c r="F23" s="33"/>
      <c r="G23" s="4" t="s">
        <v>24</v>
      </c>
      <c r="H23" s="24">
        <f>ROUND(H22,2)*D3</f>
        <v>160500</v>
      </c>
    </row>
    <row r="24" spans="1:11">
      <c r="B24" s="29"/>
      <c r="C24" s="29"/>
      <c r="D24" s="18"/>
      <c r="E24" s="18"/>
    </row>
    <row r="26" spans="1:11" ht="12.75" customHeight="1">
      <c r="A26" s="47" t="s">
        <v>25</v>
      </c>
      <c r="B26" s="47"/>
      <c r="C26" s="47"/>
      <c r="D26" s="47"/>
      <c r="E26" s="47"/>
      <c r="F26" s="47"/>
      <c r="G26" s="47"/>
      <c r="H26" s="47"/>
      <c r="I26" s="47"/>
    </row>
    <row r="27" spans="1:11" ht="12.75" customHeight="1">
      <c r="A27" s="47" t="s">
        <v>26</v>
      </c>
      <c r="B27" s="47"/>
      <c r="C27" s="47"/>
      <c r="D27" s="47"/>
      <c r="E27" s="47"/>
      <c r="F27" s="47"/>
      <c r="G27" s="47"/>
      <c r="H27" s="47"/>
      <c r="I27" s="47"/>
    </row>
    <row r="28" spans="1:11" ht="12.75" customHeight="1">
      <c r="A28" s="47" t="s">
        <v>27</v>
      </c>
      <c r="B28" s="47"/>
      <c r="C28" s="47"/>
      <c r="D28" s="47"/>
      <c r="E28" s="47"/>
      <c r="F28" s="47"/>
      <c r="G28" s="47"/>
      <c r="H28" s="47"/>
      <c r="I28" s="47"/>
    </row>
    <row r="29" spans="1:11" ht="12.75" customHeight="1">
      <c r="A29" s="47" t="s">
        <v>28</v>
      </c>
      <c r="B29" s="47"/>
      <c r="C29" s="47"/>
      <c r="D29" s="47"/>
      <c r="E29" s="47"/>
      <c r="F29" s="47"/>
      <c r="G29" s="47"/>
      <c r="H29" s="47"/>
      <c r="I29" s="47"/>
    </row>
    <row r="30" spans="1:11" ht="12.75" customHeight="1">
      <c r="A30" s="47" t="s">
        <v>29</v>
      </c>
      <c r="B30" s="47"/>
      <c r="C30" s="47"/>
      <c r="D30" s="47"/>
      <c r="E30" s="47"/>
      <c r="F30" s="47"/>
      <c r="G30" s="47"/>
      <c r="H30" s="47"/>
      <c r="I30" s="47"/>
    </row>
    <row r="31" spans="1:11" ht="12.75" customHeight="1">
      <c r="A31" s="47" t="s">
        <v>30</v>
      </c>
      <c r="B31" s="47"/>
      <c r="C31" s="47"/>
      <c r="D31" s="47"/>
      <c r="E31" s="47"/>
      <c r="F31" s="47"/>
      <c r="G31" s="47"/>
      <c r="H31" s="47"/>
      <c r="I31" s="47"/>
    </row>
    <row r="32" spans="1:11" ht="24.75" customHeight="1">
      <c r="A32" s="48" t="s">
        <v>31</v>
      </c>
      <c r="B32" s="48"/>
      <c r="C32" s="48"/>
      <c r="D32" s="48"/>
      <c r="E32" s="48"/>
      <c r="F32" s="48"/>
      <c r="G32" s="48"/>
      <c r="H32" s="48"/>
      <c r="I32" s="48"/>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H7" sqref="H7"/>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51" t="s">
        <v>0</v>
      </c>
      <c r="B1" s="51"/>
      <c r="C1" s="51"/>
      <c r="D1" s="51"/>
      <c r="E1" s="51"/>
      <c r="F1" s="51"/>
      <c r="G1" s="51"/>
      <c r="H1" s="51"/>
      <c r="I1" s="51"/>
    </row>
    <row r="2" spans="1:9" ht="25.5">
      <c r="A2" s="52" t="s">
        <v>151</v>
      </c>
      <c r="B2" s="2" t="s">
        <v>2</v>
      </c>
      <c r="C2" s="2" t="s">
        <v>3</v>
      </c>
      <c r="D2" s="2" t="s">
        <v>4</v>
      </c>
      <c r="E2" s="3" t="s">
        <v>5</v>
      </c>
      <c r="F2" s="3" t="s">
        <v>6</v>
      </c>
      <c r="G2" s="2" t="s">
        <v>7</v>
      </c>
      <c r="H2" s="4" t="s">
        <v>8</v>
      </c>
      <c r="I2" s="5" t="s">
        <v>9</v>
      </c>
    </row>
    <row r="3" spans="1:9" ht="12.75" customHeight="1">
      <c r="A3" s="52"/>
      <c r="B3" s="57" t="s">
        <v>73</v>
      </c>
      <c r="C3" s="54" t="s">
        <v>41</v>
      </c>
      <c r="D3" s="55">
        <f>30000*0.75</f>
        <v>22500</v>
      </c>
      <c r="E3" s="56">
        <f>IF(C20&lt;=25%,D20,MIN(E20:F20))</f>
        <v>5.71</v>
      </c>
      <c r="F3" s="56">
        <f>MIN(H3:H17)</f>
        <v>4.32460588</v>
      </c>
      <c r="G3" s="6" t="s">
        <v>67</v>
      </c>
      <c r="H3" s="7">
        <f>4.7*1.070447</f>
        <v>5.0311009000000002</v>
      </c>
      <c r="I3" s="8" t="str">
        <f t="shared" ref="I3:I17" si="0">IF(H3="","",(IF($C$20&lt;25%,"N/A",IF(H3&lt;=($D$20+$A$20),H3,"Descartado"))))</f>
        <v>N/A</v>
      </c>
    </row>
    <row r="4" spans="1:9">
      <c r="A4" s="52"/>
      <c r="B4" s="57"/>
      <c r="C4" s="54"/>
      <c r="D4" s="55"/>
      <c r="E4" s="56"/>
      <c r="F4" s="56"/>
      <c r="G4" s="6" t="s">
        <v>74</v>
      </c>
      <c r="H4" s="7">
        <f>6.03*1.070447</f>
        <v>6.45479541</v>
      </c>
      <c r="I4" s="8" t="str">
        <f t="shared" si="0"/>
        <v>N/A</v>
      </c>
    </row>
    <row r="5" spans="1:9">
      <c r="A5" s="52"/>
      <c r="B5" s="57"/>
      <c r="C5" s="54"/>
      <c r="D5" s="55"/>
      <c r="E5" s="56"/>
      <c r="F5" s="56"/>
      <c r="G5" s="6" t="s">
        <v>69</v>
      </c>
      <c r="H5" s="7">
        <f>4.04*1.070447</f>
        <v>4.32460588</v>
      </c>
      <c r="I5" s="8" t="str">
        <f t="shared" si="0"/>
        <v>N/A</v>
      </c>
    </row>
    <row r="6" spans="1:9">
      <c r="A6" s="52"/>
      <c r="B6" s="57"/>
      <c r="C6" s="54"/>
      <c r="D6" s="55"/>
      <c r="E6" s="56"/>
      <c r="F6" s="56"/>
      <c r="G6" s="6" t="s">
        <v>70</v>
      </c>
      <c r="H6" s="7">
        <f>6.55*1.070447</f>
        <v>7.0114278499999996</v>
      </c>
      <c r="I6" s="8" t="str">
        <f t="shared" si="0"/>
        <v>N/A</v>
      </c>
    </row>
    <row r="7" spans="1:9">
      <c r="A7" s="52"/>
      <c r="B7" s="57"/>
      <c r="C7" s="54"/>
      <c r="D7" s="55"/>
      <c r="E7" s="56"/>
      <c r="F7" s="56"/>
      <c r="G7" s="6"/>
      <c r="H7" s="7"/>
      <c r="I7" s="8" t="str">
        <f t="shared" si="0"/>
        <v/>
      </c>
    </row>
    <row r="8" spans="1:9">
      <c r="A8" s="52"/>
      <c r="B8" s="57"/>
      <c r="C8" s="54"/>
      <c r="D8" s="55"/>
      <c r="E8" s="56"/>
      <c r="F8" s="56"/>
      <c r="G8" s="6"/>
      <c r="H8" s="7"/>
      <c r="I8" s="8" t="str">
        <f t="shared" si="0"/>
        <v/>
      </c>
    </row>
    <row r="9" spans="1:9">
      <c r="A9" s="52"/>
      <c r="B9" s="57"/>
      <c r="C9" s="54"/>
      <c r="D9" s="55"/>
      <c r="E9" s="56"/>
      <c r="F9" s="56"/>
      <c r="G9" s="6"/>
      <c r="H9" s="7"/>
      <c r="I9" s="8" t="str">
        <f t="shared" si="0"/>
        <v/>
      </c>
    </row>
    <row r="10" spans="1:9">
      <c r="A10" s="52"/>
      <c r="B10" s="57"/>
      <c r="C10" s="54"/>
      <c r="D10" s="55"/>
      <c r="E10" s="56"/>
      <c r="F10" s="56"/>
      <c r="G10" s="6"/>
      <c r="H10" s="7"/>
      <c r="I10" s="8" t="str">
        <f t="shared" si="0"/>
        <v/>
      </c>
    </row>
    <row r="11" spans="1:9">
      <c r="A11" s="52"/>
      <c r="B11" s="57"/>
      <c r="C11" s="54"/>
      <c r="D11" s="55"/>
      <c r="E11" s="56"/>
      <c r="F11" s="56"/>
      <c r="G11" s="6"/>
      <c r="H11" s="7"/>
      <c r="I11" s="8" t="str">
        <f t="shared" si="0"/>
        <v/>
      </c>
    </row>
    <row r="12" spans="1:9">
      <c r="A12" s="52"/>
      <c r="B12" s="57"/>
      <c r="C12" s="54"/>
      <c r="D12" s="55"/>
      <c r="E12" s="56"/>
      <c r="F12" s="56"/>
      <c r="G12" s="6"/>
      <c r="H12" s="7"/>
      <c r="I12" s="8" t="str">
        <f t="shared" si="0"/>
        <v/>
      </c>
    </row>
    <row r="13" spans="1:9">
      <c r="A13" s="52"/>
      <c r="B13" s="57"/>
      <c r="C13" s="54"/>
      <c r="D13" s="55"/>
      <c r="E13" s="56"/>
      <c r="F13" s="56"/>
      <c r="G13" s="6"/>
      <c r="H13" s="7"/>
      <c r="I13" s="8" t="str">
        <f t="shared" si="0"/>
        <v/>
      </c>
    </row>
    <row r="14" spans="1:9">
      <c r="A14" s="52"/>
      <c r="B14" s="57"/>
      <c r="C14" s="54"/>
      <c r="D14" s="55"/>
      <c r="E14" s="56"/>
      <c r="F14" s="56"/>
      <c r="G14" s="6"/>
      <c r="H14" s="7"/>
      <c r="I14" s="8" t="str">
        <f t="shared" si="0"/>
        <v/>
      </c>
    </row>
    <row r="15" spans="1:9">
      <c r="A15" s="52"/>
      <c r="B15" s="57"/>
      <c r="C15" s="54"/>
      <c r="D15" s="55"/>
      <c r="E15" s="56"/>
      <c r="F15" s="56"/>
      <c r="G15" s="6"/>
      <c r="H15" s="7"/>
      <c r="I15" s="8" t="str">
        <f t="shared" si="0"/>
        <v/>
      </c>
    </row>
    <row r="16" spans="1:9">
      <c r="A16" s="52"/>
      <c r="B16" s="57"/>
      <c r="C16" s="54"/>
      <c r="D16" s="55"/>
      <c r="E16" s="56"/>
      <c r="F16" s="56"/>
      <c r="G16" s="6"/>
      <c r="H16" s="7"/>
      <c r="I16" s="8" t="str">
        <f t="shared" si="0"/>
        <v/>
      </c>
    </row>
    <row r="17" spans="1:11">
      <c r="A17" s="52"/>
      <c r="B17" s="57"/>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16</v>
      </c>
      <c r="B19" s="5" t="s">
        <v>17</v>
      </c>
      <c r="C19" s="4" t="s">
        <v>18</v>
      </c>
      <c r="D19" s="16" t="s">
        <v>19</v>
      </c>
      <c r="E19" s="17" t="s">
        <v>20</v>
      </c>
      <c r="F19" s="16" t="s">
        <v>21</v>
      </c>
      <c r="G19" s="49" t="s">
        <v>22</v>
      </c>
      <c r="H19" s="49"/>
      <c r="I19" s="18"/>
    </row>
    <row r="20" spans="1:11">
      <c r="A20" s="19">
        <f>IF(B20&lt;2,"N/A",(STDEV(H3:H17)))</f>
        <v>1.2421183352590932</v>
      </c>
      <c r="B20" s="19">
        <f>COUNT(H3:H17)</f>
        <v>4</v>
      </c>
      <c r="C20" s="20">
        <f>IF(B20&lt;2,"N/A",(A20/D20))</f>
        <v>0.21753385906463979</v>
      </c>
      <c r="D20" s="21">
        <f>ROUND(AVERAGE(H3:H17),2)</f>
        <v>5.71</v>
      </c>
      <c r="E20" s="22" t="str">
        <f>IFERROR(ROUND(IF(B20&lt;2,"N/A",(IF(C20&lt;=25%,"N/A",AVERAGE(I3:I17)))),2),"N/A")</f>
        <v>N/A</v>
      </c>
      <c r="F20" s="22">
        <f>ROUND(MEDIAN(H3:H17),2)</f>
        <v>5.74</v>
      </c>
      <c r="G20" s="23" t="str">
        <f>INDEX(G3:G17,MATCH(H20,H3:H17,0))</f>
        <v>NZB EMBALAGENS</v>
      </c>
      <c r="H20" s="24">
        <f>MIN(H3:H17)</f>
        <v>4.32460588</v>
      </c>
      <c r="I20" s="18"/>
    </row>
    <row r="21" spans="1:11">
      <c r="A21" s="25"/>
      <c r="B21" s="18"/>
      <c r="C21" s="26"/>
      <c r="D21" s="26"/>
      <c r="E21" s="26"/>
      <c r="F21" s="26"/>
      <c r="G21" s="18"/>
      <c r="H21" s="27"/>
      <c r="I21" s="28"/>
      <c r="J21" s="28"/>
      <c r="K21" s="28"/>
    </row>
    <row r="22" spans="1:11">
      <c r="B22" s="25"/>
      <c r="C22" s="25"/>
      <c r="D22" s="50"/>
      <c r="E22" s="50"/>
      <c r="F22" s="30"/>
      <c r="G22" s="31" t="s">
        <v>23</v>
      </c>
      <c r="H22" s="32">
        <f>IF(C20&lt;=25%,D20,MIN(E20:F20))</f>
        <v>5.71</v>
      </c>
    </row>
    <row r="23" spans="1:11">
      <c r="B23" s="25"/>
      <c r="C23" s="25"/>
      <c r="D23" s="50"/>
      <c r="E23" s="50"/>
      <c r="F23" s="33"/>
      <c r="G23" s="4" t="s">
        <v>24</v>
      </c>
      <c r="H23" s="24">
        <f>ROUND(H22,2)*D3</f>
        <v>128475</v>
      </c>
    </row>
    <row r="24" spans="1:11">
      <c r="B24" s="29"/>
      <c r="C24" s="29"/>
      <c r="D24" s="18"/>
      <c r="E24" s="18"/>
    </row>
    <row r="26" spans="1:11" ht="12.75" customHeight="1">
      <c r="A26" s="47" t="s">
        <v>25</v>
      </c>
      <c r="B26" s="47"/>
      <c r="C26" s="47"/>
      <c r="D26" s="47"/>
      <c r="E26" s="47"/>
      <c r="F26" s="47"/>
      <c r="G26" s="47"/>
      <c r="H26" s="47"/>
      <c r="I26" s="47"/>
    </row>
    <row r="27" spans="1:11" ht="12.75" customHeight="1">
      <c r="A27" s="47" t="s">
        <v>26</v>
      </c>
      <c r="B27" s="47"/>
      <c r="C27" s="47"/>
      <c r="D27" s="47"/>
      <c r="E27" s="47"/>
      <c r="F27" s="47"/>
      <c r="G27" s="47"/>
      <c r="H27" s="47"/>
      <c r="I27" s="47"/>
    </row>
    <row r="28" spans="1:11" ht="12.75" customHeight="1">
      <c r="A28" s="47" t="s">
        <v>27</v>
      </c>
      <c r="B28" s="47"/>
      <c r="C28" s="47"/>
      <c r="D28" s="47"/>
      <c r="E28" s="47"/>
      <c r="F28" s="47"/>
      <c r="G28" s="47"/>
      <c r="H28" s="47"/>
      <c r="I28" s="47"/>
    </row>
    <row r="29" spans="1:11" ht="12.75" customHeight="1">
      <c r="A29" s="47" t="s">
        <v>28</v>
      </c>
      <c r="B29" s="47"/>
      <c r="C29" s="47"/>
      <c r="D29" s="47"/>
      <c r="E29" s="47"/>
      <c r="F29" s="47"/>
      <c r="G29" s="47"/>
      <c r="H29" s="47"/>
      <c r="I29" s="47"/>
    </row>
    <row r="30" spans="1:11" ht="12.75" customHeight="1">
      <c r="A30" s="47" t="s">
        <v>29</v>
      </c>
      <c r="B30" s="47"/>
      <c r="C30" s="47"/>
      <c r="D30" s="47"/>
      <c r="E30" s="47"/>
      <c r="F30" s="47"/>
      <c r="G30" s="47"/>
      <c r="H30" s="47"/>
      <c r="I30" s="47"/>
    </row>
    <row r="31" spans="1:11" ht="12.75" customHeight="1">
      <c r="A31" s="47" t="s">
        <v>30</v>
      </c>
      <c r="B31" s="47"/>
      <c r="C31" s="47"/>
      <c r="D31" s="47"/>
      <c r="E31" s="47"/>
      <c r="F31" s="47"/>
      <c r="G31" s="47"/>
      <c r="H31" s="47"/>
      <c r="I31" s="47"/>
    </row>
    <row r="32" spans="1:11" ht="24.75" customHeight="1">
      <c r="A32" s="48" t="s">
        <v>31</v>
      </c>
      <c r="B32" s="48"/>
      <c r="C32" s="48"/>
      <c r="D32" s="48"/>
      <c r="E32" s="48"/>
      <c r="F32" s="48"/>
      <c r="G32" s="48"/>
      <c r="H32" s="48"/>
      <c r="I32" s="48"/>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H4" sqref="H4"/>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51" t="s">
        <v>0</v>
      </c>
      <c r="B1" s="51"/>
      <c r="C1" s="51"/>
      <c r="D1" s="51"/>
      <c r="E1" s="51"/>
      <c r="F1" s="51"/>
      <c r="G1" s="51"/>
      <c r="H1" s="51"/>
      <c r="I1" s="51"/>
    </row>
    <row r="2" spans="1:9" ht="25.5">
      <c r="A2" s="52" t="s">
        <v>152</v>
      </c>
      <c r="B2" s="2" t="s">
        <v>2</v>
      </c>
      <c r="C2" s="2" t="s">
        <v>3</v>
      </c>
      <c r="D2" s="2" t="s">
        <v>4</v>
      </c>
      <c r="E2" s="3" t="s">
        <v>5</v>
      </c>
      <c r="F2" s="3" t="s">
        <v>6</v>
      </c>
      <c r="G2" s="2" t="s">
        <v>7</v>
      </c>
      <c r="H2" s="4" t="s">
        <v>8</v>
      </c>
      <c r="I2" s="5" t="s">
        <v>9</v>
      </c>
    </row>
    <row r="3" spans="1:9" ht="12.75" customHeight="1">
      <c r="A3" s="52"/>
      <c r="B3" s="57" t="s">
        <v>97</v>
      </c>
      <c r="C3" s="54" t="s">
        <v>41</v>
      </c>
      <c r="D3" s="55">
        <f>30000*0.75</f>
        <v>22500</v>
      </c>
      <c r="E3" s="56">
        <f>IF(C20&lt;=25%,D20,MIN(E20:F20))</f>
        <v>3.73</v>
      </c>
      <c r="F3" s="56">
        <f>MIN(H3:H17)</f>
        <v>3.7251555599999997</v>
      </c>
      <c r="G3" s="6" t="s">
        <v>98</v>
      </c>
      <c r="H3" s="7">
        <f>3.48*1.070447</f>
        <v>3.7251555599999997</v>
      </c>
      <c r="I3" s="8" t="e">
        <f t="shared" ref="I3:I17" si="0">IF(H3="","",(IF($C$20&lt;25%,"N/A",IF(H3&lt;=($D$20+$A$20),H3,"Descartado"))))</f>
        <v>#VALUE!</v>
      </c>
    </row>
    <row r="4" spans="1:9">
      <c r="A4" s="52"/>
      <c r="B4" s="57"/>
      <c r="C4" s="54"/>
      <c r="D4" s="55"/>
      <c r="E4" s="56"/>
      <c r="F4" s="56"/>
      <c r="G4" s="6"/>
      <c r="H4" s="7"/>
      <c r="I4" s="8" t="str">
        <f t="shared" si="0"/>
        <v/>
      </c>
    </row>
    <row r="5" spans="1:9">
      <c r="A5" s="52"/>
      <c r="B5" s="57"/>
      <c r="C5" s="54"/>
      <c r="D5" s="55"/>
      <c r="E5" s="56"/>
      <c r="F5" s="56"/>
      <c r="G5" s="6"/>
      <c r="H5" s="7"/>
      <c r="I5" s="8" t="str">
        <f t="shared" si="0"/>
        <v/>
      </c>
    </row>
    <row r="6" spans="1:9">
      <c r="A6" s="52"/>
      <c r="B6" s="57"/>
      <c r="C6" s="54"/>
      <c r="D6" s="55"/>
      <c r="E6" s="56"/>
      <c r="F6" s="56"/>
      <c r="G6" s="6"/>
      <c r="H6" s="7"/>
      <c r="I6" s="8" t="str">
        <f t="shared" si="0"/>
        <v/>
      </c>
    </row>
    <row r="7" spans="1:9">
      <c r="A7" s="52"/>
      <c r="B7" s="57"/>
      <c r="C7" s="54"/>
      <c r="D7" s="55"/>
      <c r="E7" s="56"/>
      <c r="F7" s="56"/>
      <c r="G7" s="6"/>
      <c r="H7" s="7"/>
      <c r="I7" s="8" t="str">
        <f t="shared" si="0"/>
        <v/>
      </c>
    </row>
    <row r="8" spans="1:9">
      <c r="A8" s="52"/>
      <c r="B8" s="57"/>
      <c r="C8" s="54"/>
      <c r="D8" s="55"/>
      <c r="E8" s="56"/>
      <c r="F8" s="56"/>
      <c r="G8" s="6"/>
      <c r="H8" s="7"/>
      <c r="I8" s="8" t="str">
        <f t="shared" si="0"/>
        <v/>
      </c>
    </row>
    <row r="9" spans="1:9">
      <c r="A9" s="52"/>
      <c r="B9" s="57"/>
      <c r="C9" s="54"/>
      <c r="D9" s="55"/>
      <c r="E9" s="56"/>
      <c r="F9" s="56"/>
      <c r="G9" s="6"/>
      <c r="H9" s="7"/>
      <c r="I9" s="8" t="str">
        <f t="shared" si="0"/>
        <v/>
      </c>
    </row>
    <row r="10" spans="1:9">
      <c r="A10" s="52"/>
      <c r="B10" s="57"/>
      <c r="C10" s="54"/>
      <c r="D10" s="55"/>
      <c r="E10" s="56"/>
      <c r="F10" s="56"/>
      <c r="G10" s="6"/>
      <c r="H10" s="7"/>
      <c r="I10" s="8" t="str">
        <f t="shared" si="0"/>
        <v/>
      </c>
    </row>
    <row r="11" spans="1:9">
      <c r="A11" s="52"/>
      <c r="B11" s="57"/>
      <c r="C11" s="54"/>
      <c r="D11" s="55"/>
      <c r="E11" s="56"/>
      <c r="F11" s="56"/>
      <c r="G11" s="6"/>
      <c r="H11" s="7"/>
      <c r="I11" s="8" t="str">
        <f t="shared" si="0"/>
        <v/>
      </c>
    </row>
    <row r="12" spans="1:9">
      <c r="A12" s="52"/>
      <c r="B12" s="57"/>
      <c r="C12" s="54"/>
      <c r="D12" s="55"/>
      <c r="E12" s="56"/>
      <c r="F12" s="56"/>
      <c r="G12" s="6"/>
      <c r="H12" s="7"/>
      <c r="I12" s="8" t="str">
        <f t="shared" si="0"/>
        <v/>
      </c>
    </row>
    <row r="13" spans="1:9">
      <c r="A13" s="52"/>
      <c r="B13" s="57"/>
      <c r="C13" s="54"/>
      <c r="D13" s="55"/>
      <c r="E13" s="56"/>
      <c r="F13" s="56"/>
      <c r="G13" s="6"/>
      <c r="H13" s="7"/>
      <c r="I13" s="8" t="str">
        <f t="shared" si="0"/>
        <v/>
      </c>
    </row>
    <row r="14" spans="1:9">
      <c r="A14" s="52"/>
      <c r="B14" s="57"/>
      <c r="C14" s="54"/>
      <c r="D14" s="55"/>
      <c r="E14" s="56"/>
      <c r="F14" s="56"/>
      <c r="G14" s="6"/>
      <c r="H14" s="7"/>
      <c r="I14" s="8" t="str">
        <f t="shared" si="0"/>
        <v/>
      </c>
    </row>
    <row r="15" spans="1:9">
      <c r="A15" s="52"/>
      <c r="B15" s="57"/>
      <c r="C15" s="54"/>
      <c r="D15" s="55"/>
      <c r="E15" s="56"/>
      <c r="F15" s="56"/>
      <c r="G15" s="6"/>
      <c r="H15" s="7"/>
      <c r="I15" s="8" t="str">
        <f t="shared" si="0"/>
        <v/>
      </c>
    </row>
    <row r="16" spans="1:9">
      <c r="A16" s="52"/>
      <c r="B16" s="57"/>
      <c r="C16" s="54"/>
      <c r="D16" s="55"/>
      <c r="E16" s="56"/>
      <c r="F16" s="56"/>
      <c r="G16" s="6"/>
      <c r="H16" s="7"/>
      <c r="I16" s="8" t="str">
        <f t="shared" si="0"/>
        <v/>
      </c>
    </row>
    <row r="17" spans="1:11">
      <c r="A17" s="52"/>
      <c r="B17" s="57"/>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16</v>
      </c>
      <c r="B19" s="5" t="s">
        <v>17</v>
      </c>
      <c r="C19" s="4" t="s">
        <v>18</v>
      </c>
      <c r="D19" s="16" t="s">
        <v>19</v>
      </c>
      <c r="E19" s="17" t="s">
        <v>20</v>
      </c>
      <c r="F19" s="16" t="s">
        <v>21</v>
      </c>
      <c r="G19" s="49" t="s">
        <v>22</v>
      </c>
      <c r="H19" s="49"/>
      <c r="I19" s="18"/>
    </row>
    <row r="20" spans="1:11">
      <c r="A20" s="19" t="str">
        <f>IF(B20&lt;2,"N/A",(STDEV(H3:H17)))</f>
        <v>N/A</v>
      </c>
      <c r="B20" s="19">
        <f>COUNT(H3:H17)</f>
        <v>1</v>
      </c>
      <c r="C20" s="20" t="str">
        <f>IF(B20&lt;2,"N/A",(A20/D20))</f>
        <v>N/A</v>
      </c>
      <c r="D20" s="21">
        <f>ROUND(AVERAGE(H3:H17),2)</f>
        <v>3.73</v>
      </c>
      <c r="E20" s="22" t="str">
        <f>IFERROR(ROUND(IF(B20&lt;2,"N/A",(IF(C20&lt;=25%,"N/A",AVERAGE(I3:I17)))),2),"N/A")</f>
        <v>N/A</v>
      </c>
      <c r="F20" s="22">
        <f>ROUND(MEDIAN(H3:H17),2)</f>
        <v>3.73</v>
      </c>
      <c r="G20" s="23" t="str">
        <f>INDEX(G3:G17,MATCH(H20,H3:H17,0))</f>
        <v>MÁXIMO INDÚSTRIA E COMÉRCIO EIRELI</v>
      </c>
      <c r="H20" s="24">
        <f>MIN(H3:H17)</f>
        <v>3.7251555599999997</v>
      </c>
      <c r="I20" s="18"/>
    </row>
    <row r="21" spans="1:11">
      <c r="A21" s="25"/>
      <c r="B21" s="18"/>
      <c r="C21" s="26"/>
      <c r="D21" s="26"/>
      <c r="E21" s="26"/>
      <c r="F21" s="26"/>
      <c r="G21" s="18"/>
      <c r="H21" s="27"/>
      <c r="I21" s="28"/>
      <c r="J21" s="28"/>
      <c r="K21" s="28"/>
    </row>
    <row r="22" spans="1:11">
      <c r="B22" s="25"/>
      <c r="C22" s="25"/>
      <c r="D22" s="50"/>
      <c r="E22" s="50"/>
      <c r="F22" s="30"/>
      <c r="G22" s="31" t="s">
        <v>23</v>
      </c>
      <c r="H22" s="32">
        <f>IF(C20&lt;=25%,D20,MIN(E20:F20))</f>
        <v>3.73</v>
      </c>
    </row>
    <row r="23" spans="1:11">
      <c r="B23" s="25"/>
      <c r="C23" s="25"/>
      <c r="D23" s="50"/>
      <c r="E23" s="50"/>
      <c r="F23" s="33"/>
      <c r="G23" s="4" t="s">
        <v>24</v>
      </c>
      <c r="H23" s="24">
        <f>ROUND(H22,2)*D3</f>
        <v>83925</v>
      </c>
    </row>
    <row r="24" spans="1:11">
      <c r="B24" s="29"/>
      <c r="C24" s="29"/>
      <c r="D24" s="18"/>
      <c r="E24" s="18"/>
    </row>
    <row r="26" spans="1:11" ht="12.75" customHeight="1">
      <c r="A26" s="47" t="s">
        <v>25</v>
      </c>
      <c r="B26" s="47"/>
      <c r="C26" s="47"/>
      <c r="D26" s="47"/>
      <c r="E26" s="47"/>
      <c r="F26" s="47"/>
      <c r="G26" s="47"/>
      <c r="H26" s="47"/>
      <c r="I26" s="47"/>
    </row>
    <row r="27" spans="1:11" ht="12.75" customHeight="1">
      <c r="A27" s="47" t="s">
        <v>26</v>
      </c>
      <c r="B27" s="47"/>
      <c r="C27" s="47"/>
      <c r="D27" s="47"/>
      <c r="E27" s="47"/>
      <c r="F27" s="47"/>
      <c r="G27" s="47"/>
      <c r="H27" s="47"/>
      <c r="I27" s="47"/>
    </row>
    <row r="28" spans="1:11" ht="12.75" customHeight="1">
      <c r="A28" s="47" t="s">
        <v>27</v>
      </c>
      <c r="B28" s="47"/>
      <c r="C28" s="47"/>
      <c r="D28" s="47"/>
      <c r="E28" s="47"/>
      <c r="F28" s="47"/>
      <c r="G28" s="47"/>
      <c r="H28" s="47"/>
      <c r="I28" s="47"/>
    </row>
    <row r="29" spans="1:11" ht="12.75" customHeight="1">
      <c r="A29" s="47" t="s">
        <v>28</v>
      </c>
      <c r="B29" s="47"/>
      <c r="C29" s="47"/>
      <c r="D29" s="47"/>
      <c r="E29" s="47"/>
      <c r="F29" s="47"/>
      <c r="G29" s="47"/>
      <c r="H29" s="47"/>
      <c r="I29" s="47"/>
    </row>
    <row r="30" spans="1:11" ht="12.75" customHeight="1">
      <c r="A30" s="47" t="s">
        <v>29</v>
      </c>
      <c r="B30" s="47"/>
      <c r="C30" s="47"/>
      <c r="D30" s="47"/>
      <c r="E30" s="47"/>
      <c r="F30" s="47"/>
      <c r="G30" s="47"/>
      <c r="H30" s="47"/>
      <c r="I30" s="47"/>
    </row>
    <row r="31" spans="1:11" ht="12.75" customHeight="1">
      <c r="A31" s="47" t="s">
        <v>30</v>
      </c>
      <c r="B31" s="47"/>
      <c r="C31" s="47"/>
      <c r="D31" s="47"/>
      <c r="E31" s="47"/>
      <c r="F31" s="47"/>
      <c r="G31" s="47"/>
      <c r="H31" s="47"/>
      <c r="I31" s="47"/>
    </row>
    <row r="32" spans="1:11" ht="24.75" customHeight="1">
      <c r="A32" s="48" t="s">
        <v>31</v>
      </c>
      <c r="B32" s="48"/>
      <c r="C32" s="48"/>
      <c r="D32" s="48"/>
      <c r="E32" s="48"/>
      <c r="F32" s="48"/>
      <c r="G32" s="48"/>
      <c r="H32" s="48"/>
      <c r="I32" s="48"/>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H4" sqref="H4"/>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51" t="s">
        <v>0</v>
      </c>
      <c r="B1" s="51"/>
      <c r="C1" s="51"/>
      <c r="D1" s="51"/>
      <c r="E1" s="51"/>
      <c r="F1" s="51"/>
      <c r="G1" s="51"/>
      <c r="H1" s="51"/>
      <c r="I1" s="51"/>
    </row>
    <row r="2" spans="1:9" ht="25.5">
      <c r="A2" s="52" t="s">
        <v>153</v>
      </c>
      <c r="B2" s="2" t="s">
        <v>2</v>
      </c>
      <c r="C2" s="2" t="s">
        <v>3</v>
      </c>
      <c r="D2" s="2" t="s">
        <v>4</v>
      </c>
      <c r="E2" s="3" t="s">
        <v>5</v>
      </c>
      <c r="F2" s="3" t="s">
        <v>6</v>
      </c>
      <c r="G2" s="2" t="s">
        <v>7</v>
      </c>
      <c r="H2" s="4" t="s">
        <v>8</v>
      </c>
      <c r="I2" s="5" t="s">
        <v>9</v>
      </c>
    </row>
    <row r="3" spans="1:9" ht="12.75" customHeight="1">
      <c r="A3" s="52"/>
      <c r="B3" s="57" t="s">
        <v>128</v>
      </c>
      <c r="C3" s="54" t="s">
        <v>41</v>
      </c>
      <c r="D3" s="55">
        <f>400*0.75</f>
        <v>300</v>
      </c>
      <c r="E3" s="56">
        <f>IF(C20&lt;=25%,D20,MIN(E20:F20))</f>
        <v>227.56</v>
      </c>
      <c r="F3" s="56">
        <f>MIN(H3:H17)</f>
        <v>227.55562326</v>
      </c>
      <c r="G3" s="6" t="s">
        <v>129</v>
      </c>
      <c r="H3" s="7">
        <f>212.58*1.070447</f>
        <v>227.55562326</v>
      </c>
      <c r="I3" s="8" t="e">
        <f t="shared" ref="I3:I17" si="0">IF(H3="","",(IF($C$20&lt;25%,"N/A",IF(H3&lt;=($D$20+$A$20),H3,"Descartado"))))</f>
        <v>#VALUE!</v>
      </c>
    </row>
    <row r="4" spans="1:9">
      <c r="A4" s="52"/>
      <c r="B4" s="57"/>
      <c r="C4" s="54"/>
      <c r="D4" s="55"/>
      <c r="E4" s="56"/>
      <c r="F4" s="56"/>
      <c r="G4" s="6"/>
      <c r="H4" s="7"/>
      <c r="I4" s="8" t="str">
        <f t="shared" si="0"/>
        <v/>
      </c>
    </row>
    <row r="5" spans="1:9">
      <c r="A5" s="52"/>
      <c r="B5" s="57"/>
      <c r="C5" s="54"/>
      <c r="D5" s="55"/>
      <c r="E5" s="56"/>
      <c r="F5" s="56"/>
      <c r="G5" s="6"/>
      <c r="H5" s="7"/>
      <c r="I5" s="8" t="str">
        <f t="shared" si="0"/>
        <v/>
      </c>
    </row>
    <row r="6" spans="1:9">
      <c r="A6" s="52"/>
      <c r="B6" s="57"/>
      <c r="C6" s="54"/>
      <c r="D6" s="55"/>
      <c r="E6" s="56"/>
      <c r="F6" s="56"/>
      <c r="G6" s="6"/>
      <c r="H6" s="7"/>
      <c r="I6" s="8" t="str">
        <f t="shared" si="0"/>
        <v/>
      </c>
    </row>
    <row r="7" spans="1:9">
      <c r="A7" s="52"/>
      <c r="B7" s="57"/>
      <c r="C7" s="54"/>
      <c r="D7" s="55"/>
      <c r="E7" s="56"/>
      <c r="F7" s="56"/>
      <c r="G7" s="6"/>
      <c r="H7" s="7"/>
      <c r="I7" s="8" t="str">
        <f t="shared" si="0"/>
        <v/>
      </c>
    </row>
    <row r="8" spans="1:9">
      <c r="A8" s="52"/>
      <c r="B8" s="57"/>
      <c r="C8" s="54"/>
      <c r="D8" s="55"/>
      <c r="E8" s="56"/>
      <c r="F8" s="56"/>
      <c r="G8" s="6"/>
      <c r="H8" s="7"/>
      <c r="I8" s="8" t="str">
        <f t="shared" si="0"/>
        <v/>
      </c>
    </row>
    <row r="9" spans="1:9">
      <c r="A9" s="52"/>
      <c r="B9" s="57"/>
      <c r="C9" s="54"/>
      <c r="D9" s="55"/>
      <c r="E9" s="56"/>
      <c r="F9" s="56"/>
      <c r="G9" s="6"/>
      <c r="H9" s="7"/>
      <c r="I9" s="8" t="str">
        <f t="shared" si="0"/>
        <v/>
      </c>
    </row>
    <row r="10" spans="1:9">
      <c r="A10" s="52"/>
      <c r="B10" s="57"/>
      <c r="C10" s="54"/>
      <c r="D10" s="55"/>
      <c r="E10" s="56"/>
      <c r="F10" s="56"/>
      <c r="G10" s="6"/>
      <c r="H10" s="7"/>
      <c r="I10" s="8" t="str">
        <f t="shared" si="0"/>
        <v/>
      </c>
    </row>
    <row r="11" spans="1:9">
      <c r="A11" s="52"/>
      <c r="B11" s="57"/>
      <c r="C11" s="54"/>
      <c r="D11" s="55"/>
      <c r="E11" s="56"/>
      <c r="F11" s="56"/>
      <c r="G11" s="6"/>
      <c r="H11" s="7"/>
      <c r="I11" s="8" t="str">
        <f t="shared" si="0"/>
        <v/>
      </c>
    </row>
    <row r="12" spans="1:9">
      <c r="A12" s="52"/>
      <c r="B12" s="57"/>
      <c r="C12" s="54"/>
      <c r="D12" s="55"/>
      <c r="E12" s="56"/>
      <c r="F12" s="56"/>
      <c r="G12" s="6"/>
      <c r="H12" s="7"/>
      <c r="I12" s="8" t="str">
        <f t="shared" si="0"/>
        <v/>
      </c>
    </row>
    <row r="13" spans="1:9">
      <c r="A13" s="52"/>
      <c r="B13" s="57"/>
      <c r="C13" s="54"/>
      <c r="D13" s="55"/>
      <c r="E13" s="56"/>
      <c r="F13" s="56"/>
      <c r="G13" s="6"/>
      <c r="H13" s="7"/>
      <c r="I13" s="8" t="str">
        <f t="shared" si="0"/>
        <v/>
      </c>
    </row>
    <row r="14" spans="1:9">
      <c r="A14" s="52"/>
      <c r="B14" s="57"/>
      <c r="C14" s="54"/>
      <c r="D14" s="55"/>
      <c r="E14" s="56"/>
      <c r="F14" s="56"/>
      <c r="G14" s="6"/>
      <c r="H14" s="7"/>
      <c r="I14" s="8" t="str">
        <f t="shared" si="0"/>
        <v/>
      </c>
    </row>
    <row r="15" spans="1:9">
      <c r="A15" s="52"/>
      <c r="B15" s="57"/>
      <c r="C15" s="54"/>
      <c r="D15" s="55"/>
      <c r="E15" s="56"/>
      <c r="F15" s="56"/>
      <c r="G15" s="6"/>
      <c r="H15" s="7"/>
      <c r="I15" s="8" t="str">
        <f t="shared" si="0"/>
        <v/>
      </c>
    </row>
    <row r="16" spans="1:9">
      <c r="A16" s="52"/>
      <c r="B16" s="57"/>
      <c r="C16" s="54"/>
      <c r="D16" s="55"/>
      <c r="E16" s="56"/>
      <c r="F16" s="56"/>
      <c r="G16" s="6"/>
      <c r="H16" s="7"/>
      <c r="I16" s="8" t="str">
        <f t="shared" si="0"/>
        <v/>
      </c>
    </row>
    <row r="17" spans="1:11">
      <c r="A17" s="52"/>
      <c r="B17" s="57"/>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16</v>
      </c>
      <c r="B19" s="5" t="s">
        <v>17</v>
      </c>
      <c r="C19" s="4" t="s">
        <v>18</v>
      </c>
      <c r="D19" s="16" t="s">
        <v>19</v>
      </c>
      <c r="E19" s="17" t="s">
        <v>20</v>
      </c>
      <c r="F19" s="16" t="s">
        <v>21</v>
      </c>
      <c r="G19" s="49" t="s">
        <v>22</v>
      </c>
      <c r="H19" s="49"/>
      <c r="I19" s="18"/>
    </row>
    <row r="20" spans="1:11">
      <c r="A20" s="19" t="str">
        <f>IF(B20&lt;2,"N/A",(STDEV(H3:H17)))</f>
        <v>N/A</v>
      </c>
      <c r="B20" s="19">
        <f>COUNT(H3:H17)</f>
        <v>1</v>
      </c>
      <c r="C20" s="20" t="str">
        <f>IF(B20&lt;2,"N/A",(A20/D20))</f>
        <v>N/A</v>
      </c>
      <c r="D20" s="21">
        <f>ROUND(AVERAGE(H3:H17),2)</f>
        <v>227.56</v>
      </c>
      <c r="E20" s="22" t="str">
        <f>IFERROR(ROUND(IF(B20&lt;2,"N/A",(IF(C20&lt;=25%,"N/A",AVERAGE(I3:I17)))),2),"N/A")</f>
        <v>N/A</v>
      </c>
      <c r="F20" s="22">
        <f>ROUND(MEDIAN(H3:H17),2)</f>
        <v>227.56</v>
      </c>
      <c r="G20" s="23" t="str">
        <f>INDEX(G3:G17,MATCH(H20,H3:H17,0))</f>
        <v>FABRICIO RACHADEL COSTA</v>
      </c>
      <c r="H20" s="24">
        <f>MIN(H3:H17)</f>
        <v>227.55562326</v>
      </c>
      <c r="I20" s="18"/>
    </row>
    <row r="21" spans="1:11">
      <c r="A21" s="25"/>
      <c r="B21" s="18"/>
      <c r="C21" s="26"/>
      <c r="D21" s="26"/>
      <c r="E21" s="26"/>
      <c r="F21" s="26"/>
      <c r="G21" s="18"/>
      <c r="H21" s="27"/>
      <c r="I21" s="28"/>
      <c r="J21" s="28"/>
      <c r="K21" s="28"/>
    </row>
    <row r="22" spans="1:11">
      <c r="B22" s="25"/>
      <c r="C22" s="25"/>
      <c r="D22" s="50"/>
      <c r="E22" s="50"/>
      <c r="F22" s="30"/>
      <c r="G22" s="31" t="s">
        <v>23</v>
      </c>
      <c r="H22" s="32">
        <f>IF(C20&lt;=25%,D20,MIN(E20:F20))</f>
        <v>227.56</v>
      </c>
    </row>
    <row r="23" spans="1:11">
      <c r="B23" s="25"/>
      <c r="C23" s="25"/>
      <c r="D23" s="50"/>
      <c r="E23" s="50"/>
      <c r="F23" s="33"/>
      <c r="G23" s="4" t="s">
        <v>24</v>
      </c>
      <c r="H23" s="24">
        <f>ROUND(H22,2)*D3</f>
        <v>68268</v>
      </c>
    </row>
    <row r="24" spans="1:11">
      <c r="B24" s="29"/>
      <c r="C24" s="29"/>
      <c r="D24" s="18"/>
      <c r="E24" s="18"/>
    </row>
    <row r="26" spans="1:11" ht="12.75" customHeight="1">
      <c r="A26" s="47" t="s">
        <v>25</v>
      </c>
      <c r="B26" s="47"/>
      <c r="C26" s="47"/>
      <c r="D26" s="47"/>
      <c r="E26" s="47"/>
      <c r="F26" s="47"/>
      <c r="G26" s="47"/>
      <c r="H26" s="47"/>
      <c r="I26" s="47"/>
    </row>
    <row r="27" spans="1:11" ht="12.75" customHeight="1">
      <c r="A27" s="47" t="s">
        <v>26</v>
      </c>
      <c r="B27" s="47"/>
      <c r="C27" s="47"/>
      <c r="D27" s="47"/>
      <c r="E27" s="47"/>
      <c r="F27" s="47"/>
      <c r="G27" s="47"/>
      <c r="H27" s="47"/>
      <c r="I27" s="47"/>
    </row>
    <row r="28" spans="1:11" ht="12.75" customHeight="1">
      <c r="A28" s="47" t="s">
        <v>27</v>
      </c>
      <c r="B28" s="47"/>
      <c r="C28" s="47"/>
      <c r="D28" s="47"/>
      <c r="E28" s="47"/>
      <c r="F28" s="47"/>
      <c r="G28" s="47"/>
      <c r="H28" s="47"/>
      <c r="I28" s="47"/>
    </row>
    <row r="29" spans="1:11" ht="12.75" customHeight="1">
      <c r="A29" s="47" t="s">
        <v>28</v>
      </c>
      <c r="B29" s="47"/>
      <c r="C29" s="47"/>
      <c r="D29" s="47"/>
      <c r="E29" s="47"/>
      <c r="F29" s="47"/>
      <c r="G29" s="47"/>
      <c r="H29" s="47"/>
      <c r="I29" s="47"/>
    </row>
    <row r="30" spans="1:11" ht="12.75" customHeight="1">
      <c r="A30" s="47" t="s">
        <v>29</v>
      </c>
      <c r="B30" s="47"/>
      <c r="C30" s="47"/>
      <c r="D30" s="47"/>
      <c r="E30" s="47"/>
      <c r="F30" s="47"/>
      <c r="G30" s="47"/>
      <c r="H30" s="47"/>
      <c r="I30" s="47"/>
    </row>
    <row r="31" spans="1:11" ht="12.75" customHeight="1">
      <c r="A31" s="47" t="s">
        <v>30</v>
      </c>
      <c r="B31" s="47"/>
      <c r="C31" s="47"/>
      <c r="D31" s="47"/>
      <c r="E31" s="47"/>
      <c r="F31" s="47"/>
      <c r="G31" s="47"/>
      <c r="H31" s="47"/>
      <c r="I31" s="47"/>
    </row>
    <row r="32" spans="1:11" ht="24.75" customHeight="1">
      <c r="A32" s="48" t="s">
        <v>31</v>
      </c>
      <c r="B32" s="48"/>
      <c r="C32" s="48"/>
      <c r="D32" s="48"/>
      <c r="E32" s="48"/>
      <c r="F32" s="48"/>
      <c r="G32" s="48"/>
      <c r="H32" s="48"/>
      <c r="I32" s="48"/>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51" t="s">
        <v>0</v>
      </c>
      <c r="B1" s="51"/>
      <c r="C1" s="51"/>
      <c r="D1" s="51"/>
      <c r="E1" s="51"/>
      <c r="F1" s="51"/>
      <c r="G1" s="51"/>
      <c r="H1" s="51"/>
      <c r="I1" s="51"/>
    </row>
    <row r="2" spans="1:9" ht="25.5">
      <c r="A2" s="52" t="s">
        <v>154</v>
      </c>
      <c r="B2" s="2" t="s">
        <v>2</v>
      </c>
      <c r="C2" s="2" t="s">
        <v>3</v>
      </c>
      <c r="D2" s="2" t="s">
        <v>4</v>
      </c>
      <c r="E2" s="3" t="s">
        <v>5</v>
      </c>
      <c r="F2" s="3" t="s">
        <v>6</v>
      </c>
      <c r="G2" s="2" t="s">
        <v>7</v>
      </c>
      <c r="H2" s="4" t="s">
        <v>8</v>
      </c>
      <c r="I2" s="5" t="s">
        <v>9</v>
      </c>
    </row>
    <row r="3" spans="1:9" ht="12.75" customHeight="1">
      <c r="A3" s="52"/>
      <c r="B3" s="57" t="s">
        <v>155</v>
      </c>
      <c r="C3" s="54" t="s">
        <v>41</v>
      </c>
      <c r="D3" s="55">
        <v>10</v>
      </c>
      <c r="E3" s="56">
        <f>IF(C20&lt;=25%,D20,MIN(E20:F20))</f>
        <v>757.25</v>
      </c>
      <c r="F3" s="56">
        <f>MIN(H3:H17)</f>
        <v>697.5</v>
      </c>
      <c r="G3" s="6" t="s">
        <v>156</v>
      </c>
      <c r="H3" s="7">
        <v>697.5</v>
      </c>
      <c r="I3" s="8">
        <f t="shared" ref="I3:I17" si="0">IF(H3="","",(IF($C$20&lt;25%,"N/A",IF(H3&lt;=($D$20+$A$20),H3,"Descartado"))))</f>
        <v>697.5</v>
      </c>
    </row>
    <row r="4" spans="1:9">
      <c r="A4" s="52"/>
      <c r="B4" s="57"/>
      <c r="C4" s="54"/>
      <c r="D4" s="55"/>
      <c r="E4" s="56"/>
      <c r="F4" s="56"/>
      <c r="G4" s="6" t="s">
        <v>157</v>
      </c>
      <c r="H4" s="7">
        <v>817</v>
      </c>
      <c r="I4" s="8">
        <f t="shared" si="0"/>
        <v>817</v>
      </c>
    </row>
    <row r="5" spans="1:9">
      <c r="A5" s="52"/>
      <c r="B5" s="57"/>
      <c r="C5" s="54"/>
      <c r="D5" s="55"/>
      <c r="E5" s="56"/>
      <c r="F5" s="56"/>
      <c r="G5" s="6" t="s">
        <v>158</v>
      </c>
      <c r="H5" s="7">
        <v>1125</v>
      </c>
      <c r="I5" s="8" t="str">
        <f t="shared" si="0"/>
        <v>Descartado</v>
      </c>
    </row>
    <row r="6" spans="1:9">
      <c r="A6" s="52"/>
      <c r="B6" s="57"/>
      <c r="C6" s="54"/>
      <c r="D6" s="55"/>
      <c r="E6" s="56"/>
      <c r="F6" s="56"/>
      <c r="G6" s="6"/>
      <c r="H6" s="7"/>
      <c r="I6" s="8" t="str">
        <f t="shared" si="0"/>
        <v/>
      </c>
    </row>
    <row r="7" spans="1:9">
      <c r="A7" s="52"/>
      <c r="B7" s="57"/>
      <c r="C7" s="54"/>
      <c r="D7" s="55"/>
      <c r="E7" s="56"/>
      <c r="F7" s="56"/>
      <c r="G7" s="6"/>
      <c r="H7" s="7"/>
      <c r="I7" s="8" t="str">
        <f t="shared" si="0"/>
        <v/>
      </c>
    </row>
    <row r="8" spans="1:9">
      <c r="A8" s="52"/>
      <c r="B8" s="57"/>
      <c r="C8" s="54"/>
      <c r="D8" s="55"/>
      <c r="E8" s="56"/>
      <c r="F8" s="56"/>
      <c r="G8" s="6"/>
      <c r="H8" s="7"/>
      <c r="I8" s="8" t="str">
        <f t="shared" si="0"/>
        <v/>
      </c>
    </row>
    <row r="9" spans="1:9">
      <c r="A9" s="52"/>
      <c r="B9" s="57"/>
      <c r="C9" s="54"/>
      <c r="D9" s="55"/>
      <c r="E9" s="56"/>
      <c r="F9" s="56"/>
      <c r="G9" s="6"/>
      <c r="H9" s="7"/>
      <c r="I9" s="8" t="str">
        <f t="shared" si="0"/>
        <v/>
      </c>
    </row>
    <row r="10" spans="1:9">
      <c r="A10" s="52"/>
      <c r="B10" s="57"/>
      <c r="C10" s="54"/>
      <c r="D10" s="55"/>
      <c r="E10" s="56"/>
      <c r="F10" s="56"/>
      <c r="G10" s="6"/>
      <c r="H10" s="7"/>
      <c r="I10" s="8" t="str">
        <f t="shared" si="0"/>
        <v/>
      </c>
    </row>
    <row r="11" spans="1:9">
      <c r="A11" s="52"/>
      <c r="B11" s="57"/>
      <c r="C11" s="54"/>
      <c r="D11" s="55"/>
      <c r="E11" s="56"/>
      <c r="F11" s="56"/>
      <c r="G11" s="6"/>
      <c r="H11" s="7"/>
      <c r="I11" s="8" t="str">
        <f t="shared" si="0"/>
        <v/>
      </c>
    </row>
    <row r="12" spans="1:9">
      <c r="A12" s="52"/>
      <c r="B12" s="57"/>
      <c r="C12" s="54"/>
      <c r="D12" s="55"/>
      <c r="E12" s="56"/>
      <c r="F12" s="56"/>
      <c r="G12" s="6"/>
      <c r="H12" s="7"/>
      <c r="I12" s="8" t="str">
        <f t="shared" si="0"/>
        <v/>
      </c>
    </row>
    <row r="13" spans="1:9">
      <c r="A13" s="52"/>
      <c r="B13" s="57"/>
      <c r="C13" s="54"/>
      <c r="D13" s="55"/>
      <c r="E13" s="56"/>
      <c r="F13" s="56"/>
      <c r="G13" s="6"/>
      <c r="H13" s="7"/>
      <c r="I13" s="8" t="str">
        <f t="shared" si="0"/>
        <v/>
      </c>
    </row>
    <row r="14" spans="1:9">
      <c r="A14" s="52"/>
      <c r="B14" s="57"/>
      <c r="C14" s="54"/>
      <c r="D14" s="55"/>
      <c r="E14" s="56"/>
      <c r="F14" s="56"/>
      <c r="G14" s="6"/>
      <c r="H14" s="7"/>
      <c r="I14" s="8" t="str">
        <f t="shared" si="0"/>
        <v/>
      </c>
    </row>
    <row r="15" spans="1:9">
      <c r="A15" s="52"/>
      <c r="B15" s="57"/>
      <c r="C15" s="54"/>
      <c r="D15" s="55"/>
      <c r="E15" s="56"/>
      <c r="F15" s="56"/>
      <c r="G15" s="6"/>
      <c r="H15" s="7"/>
      <c r="I15" s="8" t="str">
        <f t="shared" si="0"/>
        <v/>
      </c>
    </row>
    <row r="16" spans="1:9">
      <c r="A16" s="52"/>
      <c r="B16" s="57"/>
      <c r="C16" s="54"/>
      <c r="D16" s="55"/>
      <c r="E16" s="56"/>
      <c r="F16" s="56"/>
      <c r="G16" s="6"/>
      <c r="H16" s="7"/>
      <c r="I16" s="8" t="str">
        <f t="shared" si="0"/>
        <v/>
      </c>
    </row>
    <row r="17" spans="1:11">
      <c r="A17" s="52"/>
      <c r="B17" s="57"/>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16</v>
      </c>
      <c r="B19" s="5" t="s">
        <v>17</v>
      </c>
      <c r="C19" s="4" t="s">
        <v>18</v>
      </c>
      <c r="D19" s="16" t="s">
        <v>19</v>
      </c>
      <c r="E19" s="17" t="s">
        <v>20</v>
      </c>
      <c r="F19" s="16" t="s">
        <v>21</v>
      </c>
      <c r="G19" s="49" t="s">
        <v>22</v>
      </c>
      <c r="H19" s="49"/>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50"/>
      <c r="E22" s="50"/>
      <c r="F22" s="30"/>
      <c r="G22" s="31" t="s">
        <v>23</v>
      </c>
      <c r="H22" s="32">
        <f>IF(C20&lt;=25%,D20,MIN(E20:F20))</f>
        <v>757.25</v>
      </c>
    </row>
    <row r="23" spans="1:11">
      <c r="B23" s="25"/>
      <c r="C23" s="25"/>
      <c r="D23" s="50"/>
      <c r="E23" s="50"/>
      <c r="F23" s="33"/>
      <c r="G23" s="4" t="s">
        <v>24</v>
      </c>
      <c r="H23" s="24">
        <f>ROUND(H22,2)*D3</f>
        <v>7572.5</v>
      </c>
    </row>
    <row r="24" spans="1:11">
      <c r="B24" s="29"/>
      <c r="C24" s="29"/>
      <c r="D24" s="18"/>
      <c r="E24" s="18"/>
    </row>
    <row r="26" spans="1:11" ht="12.75" customHeight="1">
      <c r="A26" s="47" t="s">
        <v>25</v>
      </c>
      <c r="B26" s="47"/>
      <c r="C26" s="47"/>
      <c r="D26" s="47"/>
      <c r="E26" s="47"/>
      <c r="F26" s="47"/>
      <c r="G26" s="47"/>
      <c r="H26" s="47"/>
      <c r="I26" s="47"/>
    </row>
    <row r="27" spans="1:11" ht="12.75" customHeight="1">
      <c r="A27" s="47" t="s">
        <v>26</v>
      </c>
      <c r="B27" s="47"/>
      <c r="C27" s="47"/>
      <c r="D27" s="47"/>
      <c r="E27" s="47"/>
      <c r="F27" s="47"/>
      <c r="G27" s="47"/>
      <c r="H27" s="47"/>
      <c r="I27" s="47"/>
    </row>
    <row r="28" spans="1:11" ht="12.75" customHeight="1">
      <c r="A28" s="47" t="s">
        <v>27</v>
      </c>
      <c r="B28" s="47"/>
      <c r="C28" s="47"/>
      <c r="D28" s="47"/>
      <c r="E28" s="47"/>
      <c r="F28" s="47"/>
      <c r="G28" s="47"/>
      <c r="H28" s="47"/>
      <c r="I28" s="47"/>
    </row>
    <row r="29" spans="1:11" ht="12.75" customHeight="1">
      <c r="A29" s="47" t="s">
        <v>28</v>
      </c>
      <c r="B29" s="47"/>
      <c r="C29" s="47"/>
      <c r="D29" s="47"/>
      <c r="E29" s="47"/>
      <c r="F29" s="47"/>
      <c r="G29" s="47"/>
      <c r="H29" s="47"/>
      <c r="I29" s="47"/>
    </row>
    <row r="30" spans="1:11" ht="12.75" customHeight="1">
      <c r="A30" s="47" t="s">
        <v>29</v>
      </c>
      <c r="B30" s="47"/>
      <c r="C30" s="47"/>
      <c r="D30" s="47"/>
      <c r="E30" s="47"/>
      <c r="F30" s="47"/>
      <c r="G30" s="47"/>
      <c r="H30" s="47"/>
      <c r="I30" s="47"/>
    </row>
    <row r="31" spans="1:11" ht="12.75" customHeight="1">
      <c r="A31" s="47" t="s">
        <v>30</v>
      </c>
      <c r="B31" s="47"/>
      <c r="C31" s="47"/>
      <c r="D31" s="47"/>
      <c r="E31" s="47"/>
      <c r="F31" s="47"/>
      <c r="G31" s="47"/>
      <c r="H31" s="47"/>
      <c r="I31" s="47"/>
    </row>
    <row r="32" spans="1:11" ht="24.75" customHeight="1">
      <c r="A32" s="48" t="s">
        <v>31</v>
      </c>
      <c r="B32" s="48"/>
      <c r="C32" s="48"/>
      <c r="D32" s="48"/>
      <c r="E32" s="48"/>
      <c r="F32" s="48"/>
      <c r="G32" s="48"/>
      <c r="H32" s="48"/>
      <c r="I32" s="48"/>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J2" sqref="J2"/>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51" t="s">
        <v>0</v>
      </c>
      <c r="B1" s="51"/>
      <c r="C1" s="51"/>
      <c r="D1" s="51"/>
      <c r="E1" s="51"/>
      <c r="F1" s="51"/>
      <c r="G1" s="51"/>
      <c r="H1" s="51"/>
      <c r="I1" s="51"/>
    </row>
    <row r="2" spans="1:9" ht="25.5">
      <c r="A2" s="52" t="s">
        <v>159</v>
      </c>
      <c r="B2" s="2" t="s">
        <v>2</v>
      </c>
      <c r="C2" s="2" t="s">
        <v>3</v>
      </c>
      <c r="D2" s="2" t="s">
        <v>4</v>
      </c>
      <c r="E2" s="3" t="s">
        <v>5</v>
      </c>
      <c r="F2" s="3" t="s">
        <v>6</v>
      </c>
      <c r="G2" s="2" t="s">
        <v>7</v>
      </c>
      <c r="H2" s="4" t="s">
        <v>8</v>
      </c>
      <c r="I2" s="5" t="s">
        <v>9</v>
      </c>
    </row>
    <row r="3" spans="1:9" ht="12.75" customHeight="1">
      <c r="A3" s="52"/>
      <c r="B3" s="57" t="s">
        <v>155</v>
      </c>
      <c r="C3" s="54" t="s">
        <v>41</v>
      </c>
      <c r="D3" s="55">
        <v>10</v>
      </c>
      <c r="E3" s="56">
        <f>IF(C20&lt;=25%,D20,MIN(E20:F20))</f>
        <v>757.25</v>
      </c>
      <c r="F3" s="56">
        <f>MIN(H3:H17)</f>
        <v>697.5</v>
      </c>
      <c r="G3" s="6" t="s">
        <v>156</v>
      </c>
      <c r="H3" s="7">
        <v>697.5</v>
      </c>
      <c r="I3" s="8">
        <f t="shared" ref="I3:I17" si="0">IF(H3="","",(IF($C$20&lt;25%,"N/A",IF(H3&lt;=($D$20+$A$20),H3,"Descartado"))))</f>
        <v>697.5</v>
      </c>
    </row>
    <row r="4" spans="1:9">
      <c r="A4" s="52"/>
      <c r="B4" s="57"/>
      <c r="C4" s="54"/>
      <c r="D4" s="55"/>
      <c r="E4" s="56"/>
      <c r="F4" s="56"/>
      <c r="G4" s="6" t="s">
        <v>157</v>
      </c>
      <c r="H4" s="7">
        <v>817</v>
      </c>
      <c r="I4" s="8">
        <f t="shared" si="0"/>
        <v>817</v>
      </c>
    </row>
    <row r="5" spans="1:9">
      <c r="A5" s="52"/>
      <c r="B5" s="57"/>
      <c r="C5" s="54"/>
      <c r="D5" s="55"/>
      <c r="E5" s="56"/>
      <c r="F5" s="56"/>
      <c r="G5" s="6" t="s">
        <v>158</v>
      </c>
      <c r="H5" s="7">
        <v>1125</v>
      </c>
      <c r="I5" s="8" t="str">
        <f t="shared" si="0"/>
        <v>Descartado</v>
      </c>
    </row>
    <row r="6" spans="1:9">
      <c r="A6" s="52"/>
      <c r="B6" s="57"/>
      <c r="C6" s="54"/>
      <c r="D6" s="55"/>
      <c r="E6" s="56"/>
      <c r="F6" s="56"/>
      <c r="G6" s="6"/>
      <c r="H6" s="7"/>
      <c r="I6" s="8" t="str">
        <f t="shared" si="0"/>
        <v/>
      </c>
    </row>
    <row r="7" spans="1:9">
      <c r="A7" s="52"/>
      <c r="B7" s="57"/>
      <c r="C7" s="54"/>
      <c r="D7" s="55"/>
      <c r="E7" s="56"/>
      <c r="F7" s="56"/>
      <c r="G7" s="6"/>
      <c r="H7" s="7"/>
      <c r="I7" s="8" t="str">
        <f t="shared" si="0"/>
        <v/>
      </c>
    </row>
    <row r="8" spans="1:9">
      <c r="A8" s="52"/>
      <c r="B8" s="57"/>
      <c r="C8" s="54"/>
      <c r="D8" s="55"/>
      <c r="E8" s="56"/>
      <c r="F8" s="56"/>
      <c r="G8" s="6"/>
      <c r="H8" s="7"/>
      <c r="I8" s="8" t="str">
        <f t="shared" si="0"/>
        <v/>
      </c>
    </row>
    <row r="9" spans="1:9">
      <c r="A9" s="52"/>
      <c r="B9" s="57"/>
      <c r="C9" s="54"/>
      <c r="D9" s="55"/>
      <c r="E9" s="56"/>
      <c r="F9" s="56"/>
      <c r="G9" s="6"/>
      <c r="H9" s="7"/>
      <c r="I9" s="8" t="str">
        <f t="shared" si="0"/>
        <v/>
      </c>
    </row>
    <row r="10" spans="1:9">
      <c r="A10" s="52"/>
      <c r="B10" s="57"/>
      <c r="C10" s="54"/>
      <c r="D10" s="55"/>
      <c r="E10" s="56"/>
      <c r="F10" s="56"/>
      <c r="G10" s="6"/>
      <c r="H10" s="7"/>
      <c r="I10" s="8" t="str">
        <f t="shared" si="0"/>
        <v/>
      </c>
    </row>
    <row r="11" spans="1:9">
      <c r="A11" s="52"/>
      <c r="B11" s="57"/>
      <c r="C11" s="54"/>
      <c r="D11" s="55"/>
      <c r="E11" s="56"/>
      <c r="F11" s="56"/>
      <c r="G11" s="6"/>
      <c r="H11" s="7"/>
      <c r="I11" s="8" t="str">
        <f t="shared" si="0"/>
        <v/>
      </c>
    </row>
    <row r="12" spans="1:9">
      <c r="A12" s="52"/>
      <c r="B12" s="57"/>
      <c r="C12" s="54"/>
      <c r="D12" s="55"/>
      <c r="E12" s="56"/>
      <c r="F12" s="56"/>
      <c r="G12" s="6"/>
      <c r="H12" s="7"/>
      <c r="I12" s="8" t="str">
        <f t="shared" si="0"/>
        <v/>
      </c>
    </row>
    <row r="13" spans="1:9">
      <c r="A13" s="52"/>
      <c r="B13" s="57"/>
      <c r="C13" s="54"/>
      <c r="D13" s="55"/>
      <c r="E13" s="56"/>
      <c r="F13" s="56"/>
      <c r="G13" s="6"/>
      <c r="H13" s="7"/>
      <c r="I13" s="8" t="str">
        <f t="shared" si="0"/>
        <v/>
      </c>
    </row>
    <row r="14" spans="1:9">
      <c r="A14" s="52"/>
      <c r="B14" s="57"/>
      <c r="C14" s="54"/>
      <c r="D14" s="55"/>
      <c r="E14" s="56"/>
      <c r="F14" s="56"/>
      <c r="G14" s="6"/>
      <c r="H14" s="7"/>
      <c r="I14" s="8" t="str">
        <f t="shared" si="0"/>
        <v/>
      </c>
    </row>
    <row r="15" spans="1:9">
      <c r="A15" s="52"/>
      <c r="B15" s="57"/>
      <c r="C15" s="54"/>
      <c r="D15" s="55"/>
      <c r="E15" s="56"/>
      <c r="F15" s="56"/>
      <c r="G15" s="6"/>
      <c r="H15" s="7"/>
      <c r="I15" s="8" t="str">
        <f t="shared" si="0"/>
        <v/>
      </c>
    </row>
    <row r="16" spans="1:9">
      <c r="A16" s="52"/>
      <c r="B16" s="57"/>
      <c r="C16" s="54"/>
      <c r="D16" s="55"/>
      <c r="E16" s="56"/>
      <c r="F16" s="56"/>
      <c r="G16" s="6"/>
      <c r="H16" s="7"/>
      <c r="I16" s="8" t="str">
        <f t="shared" si="0"/>
        <v/>
      </c>
    </row>
    <row r="17" spans="1:11">
      <c r="A17" s="52"/>
      <c r="B17" s="57"/>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16</v>
      </c>
      <c r="B19" s="5" t="s">
        <v>17</v>
      </c>
      <c r="C19" s="4" t="s">
        <v>18</v>
      </c>
      <c r="D19" s="16" t="s">
        <v>19</v>
      </c>
      <c r="E19" s="17" t="s">
        <v>20</v>
      </c>
      <c r="F19" s="16" t="s">
        <v>21</v>
      </c>
      <c r="G19" s="49" t="s">
        <v>22</v>
      </c>
      <c r="H19" s="49"/>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50"/>
      <c r="E22" s="50"/>
      <c r="F22" s="30"/>
      <c r="G22" s="31" t="s">
        <v>23</v>
      </c>
      <c r="H22" s="32">
        <f>IF(C20&lt;=25%,D20,MIN(E20:F20))</f>
        <v>757.25</v>
      </c>
    </row>
    <row r="23" spans="1:11">
      <c r="B23" s="25"/>
      <c r="C23" s="25"/>
      <c r="D23" s="50"/>
      <c r="E23" s="50"/>
      <c r="F23" s="33"/>
      <c r="G23" s="4" t="s">
        <v>24</v>
      </c>
      <c r="H23" s="24">
        <f>ROUND(H22,2)*D3</f>
        <v>7572.5</v>
      </c>
    </row>
    <row r="24" spans="1:11">
      <c r="B24" s="29"/>
      <c r="C24" s="29"/>
      <c r="D24" s="18"/>
      <c r="E24" s="18"/>
    </row>
    <row r="26" spans="1:11" ht="12.75" customHeight="1">
      <c r="A26" s="47" t="s">
        <v>25</v>
      </c>
      <c r="B26" s="47"/>
      <c r="C26" s="47"/>
      <c r="D26" s="47"/>
      <c r="E26" s="47"/>
      <c r="F26" s="47"/>
      <c r="G26" s="47"/>
      <c r="H26" s="47"/>
      <c r="I26" s="47"/>
    </row>
    <row r="27" spans="1:11" ht="12.75" customHeight="1">
      <c r="A27" s="47" t="s">
        <v>26</v>
      </c>
      <c r="B27" s="47"/>
      <c r="C27" s="47"/>
      <c r="D27" s="47"/>
      <c r="E27" s="47"/>
      <c r="F27" s="47"/>
      <c r="G27" s="47"/>
      <c r="H27" s="47"/>
      <c r="I27" s="47"/>
    </row>
    <row r="28" spans="1:11" ht="12.75" customHeight="1">
      <c r="A28" s="47" t="s">
        <v>27</v>
      </c>
      <c r="B28" s="47"/>
      <c r="C28" s="47"/>
      <c r="D28" s="47"/>
      <c r="E28" s="47"/>
      <c r="F28" s="47"/>
      <c r="G28" s="47"/>
      <c r="H28" s="47"/>
      <c r="I28" s="47"/>
    </row>
    <row r="29" spans="1:11" ht="12.75" customHeight="1">
      <c r="A29" s="47" t="s">
        <v>28</v>
      </c>
      <c r="B29" s="47"/>
      <c r="C29" s="47"/>
      <c r="D29" s="47"/>
      <c r="E29" s="47"/>
      <c r="F29" s="47"/>
      <c r="G29" s="47"/>
      <c r="H29" s="47"/>
      <c r="I29" s="47"/>
    </row>
    <row r="30" spans="1:11" ht="12.75" customHeight="1">
      <c r="A30" s="47" t="s">
        <v>29</v>
      </c>
      <c r="B30" s="47"/>
      <c r="C30" s="47"/>
      <c r="D30" s="47"/>
      <c r="E30" s="47"/>
      <c r="F30" s="47"/>
      <c r="G30" s="47"/>
      <c r="H30" s="47"/>
      <c r="I30" s="47"/>
    </row>
    <row r="31" spans="1:11" ht="12.75" customHeight="1">
      <c r="A31" s="47" t="s">
        <v>30</v>
      </c>
      <c r="B31" s="47"/>
      <c r="C31" s="47"/>
      <c r="D31" s="47"/>
      <c r="E31" s="47"/>
      <c r="F31" s="47"/>
      <c r="G31" s="47"/>
      <c r="H31" s="47"/>
      <c r="I31" s="47"/>
    </row>
    <row r="32" spans="1:11" ht="24.75" customHeight="1">
      <c r="A32" s="48" t="s">
        <v>31</v>
      </c>
      <c r="B32" s="48"/>
      <c r="C32" s="48"/>
      <c r="D32" s="48"/>
      <c r="E32" s="48"/>
      <c r="F32" s="48"/>
      <c r="G32" s="48"/>
      <c r="H32" s="48"/>
      <c r="I32" s="48"/>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51" t="s">
        <v>0</v>
      </c>
      <c r="B1" s="51"/>
      <c r="C1" s="51"/>
      <c r="D1" s="51"/>
      <c r="E1" s="51"/>
      <c r="F1" s="51"/>
      <c r="G1" s="51"/>
      <c r="H1" s="51"/>
      <c r="I1" s="51"/>
    </row>
    <row r="2" spans="1:9" ht="25.5">
      <c r="A2" s="52" t="s">
        <v>160</v>
      </c>
      <c r="B2" s="2" t="s">
        <v>2</v>
      </c>
      <c r="C2" s="2" t="s">
        <v>3</v>
      </c>
      <c r="D2" s="2" t="s">
        <v>4</v>
      </c>
      <c r="E2" s="3" t="s">
        <v>5</v>
      </c>
      <c r="F2" s="3" t="s">
        <v>6</v>
      </c>
      <c r="G2" s="2" t="s">
        <v>7</v>
      </c>
      <c r="H2" s="4" t="s">
        <v>8</v>
      </c>
      <c r="I2" s="5" t="s">
        <v>9</v>
      </c>
    </row>
    <row r="3" spans="1:9" ht="12.75" customHeight="1">
      <c r="A3" s="52"/>
      <c r="B3" s="57" t="s">
        <v>155</v>
      </c>
      <c r="C3" s="54" t="s">
        <v>41</v>
      </c>
      <c r="D3" s="55">
        <v>10</v>
      </c>
      <c r="E3" s="56">
        <f>IF(C20&lt;=25%,D20,MIN(E20:F20))</f>
        <v>757.25</v>
      </c>
      <c r="F3" s="56">
        <f>MIN(H3:H17)</f>
        <v>697.5</v>
      </c>
      <c r="G3" s="6" t="s">
        <v>156</v>
      </c>
      <c r="H3" s="7">
        <v>697.5</v>
      </c>
      <c r="I3" s="8">
        <f t="shared" ref="I3:I17" si="0">IF(H3="","",(IF($C$20&lt;25%,"N/A",IF(H3&lt;=($D$20+$A$20),H3,"Descartado"))))</f>
        <v>697.5</v>
      </c>
    </row>
    <row r="4" spans="1:9">
      <c r="A4" s="52"/>
      <c r="B4" s="57"/>
      <c r="C4" s="54"/>
      <c r="D4" s="55"/>
      <c r="E4" s="56"/>
      <c r="F4" s="56"/>
      <c r="G4" s="6" t="s">
        <v>157</v>
      </c>
      <c r="H4" s="7">
        <v>817</v>
      </c>
      <c r="I4" s="8">
        <f t="shared" si="0"/>
        <v>817</v>
      </c>
    </row>
    <row r="5" spans="1:9">
      <c r="A5" s="52"/>
      <c r="B5" s="57"/>
      <c r="C5" s="54"/>
      <c r="D5" s="55"/>
      <c r="E5" s="56"/>
      <c r="F5" s="56"/>
      <c r="G5" s="6" t="s">
        <v>158</v>
      </c>
      <c r="H5" s="7">
        <v>1125</v>
      </c>
      <c r="I5" s="8" t="str">
        <f t="shared" si="0"/>
        <v>Descartado</v>
      </c>
    </row>
    <row r="6" spans="1:9">
      <c r="A6" s="52"/>
      <c r="B6" s="57"/>
      <c r="C6" s="54"/>
      <c r="D6" s="55"/>
      <c r="E6" s="56"/>
      <c r="F6" s="56"/>
      <c r="G6" s="6"/>
      <c r="H6" s="7"/>
      <c r="I6" s="8" t="str">
        <f t="shared" si="0"/>
        <v/>
      </c>
    </row>
    <row r="7" spans="1:9">
      <c r="A7" s="52"/>
      <c r="B7" s="57"/>
      <c r="C7" s="54"/>
      <c r="D7" s="55"/>
      <c r="E7" s="56"/>
      <c r="F7" s="56"/>
      <c r="G7" s="6"/>
      <c r="H7" s="7"/>
      <c r="I7" s="8" t="str">
        <f t="shared" si="0"/>
        <v/>
      </c>
    </row>
    <row r="8" spans="1:9">
      <c r="A8" s="52"/>
      <c r="B8" s="57"/>
      <c r="C8" s="54"/>
      <c r="D8" s="55"/>
      <c r="E8" s="56"/>
      <c r="F8" s="56"/>
      <c r="G8" s="6"/>
      <c r="H8" s="7"/>
      <c r="I8" s="8" t="str">
        <f t="shared" si="0"/>
        <v/>
      </c>
    </row>
    <row r="9" spans="1:9">
      <c r="A9" s="52"/>
      <c r="B9" s="57"/>
      <c r="C9" s="54"/>
      <c r="D9" s="55"/>
      <c r="E9" s="56"/>
      <c r="F9" s="56"/>
      <c r="G9" s="6"/>
      <c r="H9" s="7"/>
      <c r="I9" s="8" t="str">
        <f t="shared" si="0"/>
        <v/>
      </c>
    </row>
    <row r="10" spans="1:9">
      <c r="A10" s="52"/>
      <c r="B10" s="57"/>
      <c r="C10" s="54"/>
      <c r="D10" s="55"/>
      <c r="E10" s="56"/>
      <c r="F10" s="56"/>
      <c r="G10" s="6"/>
      <c r="H10" s="7"/>
      <c r="I10" s="8" t="str">
        <f t="shared" si="0"/>
        <v/>
      </c>
    </row>
    <row r="11" spans="1:9">
      <c r="A11" s="52"/>
      <c r="B11" s="57"/>
      <c r="C11" s="54"/>
      <c r="D11" s="55"/>
      <c r="E11" s="56"/>
      <c r="F11" s="56"/>
      <c r="G11" s="6"/>
      <c r="H11" s="7"/>
      <c r="I11" s="8" t="str">
        <f t="shared" si="0"/>
        <v/>
      </c>
    </row>
    <row r="12" spans="1:9">
      <c r="A12" s="52"/>
      <c r="B12" s="57"/>
      <c r="C12" s="54"/>
      <c r="D12" s="55"/>
      <c r="E12" s="56"/>
      <c r="F12" s="56"/>
      <c r="G12" s="6"/>
      <c r="H12" s="7"/>
      <c r="I12" s="8" t="str">
        <f t="shared" si="0"/>
        <v/>
      </c>
    </row>
    <row r="13" spans="1:9">
      <c r="A13" s="52"/>
      <c r="B13" s="57"/>
      <c r="C13" s="54"/>
      <c r="D13" s="55"/>
      <c r="E13" s="56"/>
      <c r="F13" s="56"/>
      <c r="G13" s="6"/>
      <c r="H13" s="7"/>
      <c r="I13" s="8" t="str">
        <f t="shared" si="0"/>
        <v/>
      </c>
    </row>
    <row r="14" spans="1:9">
      <c r="A14" s="52"/>
      <c r="B14" s="57"/>
      <c r="C14" s="54"/>
      <c r="D14" s="55"/>
      <c r="E14" s="56"/>
      <c r="F14" s="56"/>
      <c r="G14" s="6"/>
      <c r="H14" s="7"/>
      <c r="I14" s="8" t="str">
        <f t="shared" si="0"/>
        <v/>
      </c>
    </row>
    <row r="15" spans="1:9">
      <c r="A15" s="52"/>
      <c r="B15" s="57"/>
      <c r="C15" s="54"/>
      <c r="D15" s="55"/>
      <c r="E15" s="56"/>
      <c r="F15" s="56"/>
      <c r="G15" s="6"/>
      <c r="H15" s="7"/>
      <c r="I15" s="8" t="str">
        <f t="shared" si="0"/>
        <v/>
      </c>
    </row>
    <row r="16" spans="1:9">
      <c r="A16" s="52"/>
      <c r="B16" s="57"/>
      <c r="C16" s="54"/>
      <c r="D16" s="55"/>
      <c r="E16" s="56"/>
      <c r="F16" s="56"/>
      <c r="G16" s="6"/>
      <c r="H16" s="7"/>
      <c r="I16" s="8" t="str">
        <f t="shared" si="0"/>
        <v/>
      </c>
    </row>
    <row r="17" spans="1:11">
      <c r="A17" s="52"/>
      <c r="B17" s="57"/>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16</v>
      </c>
      <c r="B19" s="5" t="s">
        <v>17</v>
      </c>
      <c r="C19" s="4" t="s">
        <v>18</v>
      </c>
      <c r="D19" s="16" t="s">
        <v>19</v>
      </c>
      <c r="E19" s="17" t="s">
        <v>20</v>
      </c>
      <c r="F19" s="16" t="s">
        <v>21</v>
      </c>
      <c r="G19" s="49" t="s">
        <v>22</v>
      </c>
      <c r="H19" s="49"/>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50"/>
      <c r="E22" s="50"/>
      <c r="F22" s="30"/>
      <c r="G22" s="31" t="s">
        <v>23</v>
      </c>
      <c r="H22" s="32">
        <f>IF(C20&lt;=25%,D20,MIN(E20:F20))</f>
        <v>757.25</v>
      </c>
    </row>
    <row r="23" spans="1:11">
      <c r="B23" s="25"/>
      <c r="C23" s="25"/>
      <c r="D23" s="50"/>
      <c r="E23" s="50"/>
      <c r="F23" s="33"/>
      <c r="G23" s="4" t="s">
        <v>24</v>
      </c>
      <c r="H23" s="24">
        <f>ROUND(H22,2)*D3</f>
        <v>7572.5</v>
      </c>
    </row>
    <row r="24" spans="1:11">
      <c r="B24" s="29"/>
      <c r="C24" s="29"/>
      <c r="D24" s="18"/>
      <c r="E24" s="18"/>
    </row>
    <row r="26" spans="1:11" ht="12.75" customHeight="1">
      <c r="A26" s="47" t="s">
        <v>25</v>
      </c>
      <c r="B26" s="47"/>
      <c r="C26" s="47"/>
      <c r="D26" s="47"/>
      <c r="E26" s="47"/>
      <c r="F26" s="47"/>
      <c r="G26" s="47"/>
      <c r="H26" s="47"/>
      <c r="I26" s="47"/>
    </row>
    <row r="27" spans="1:11" ht="12.75" customHeight="1">
      <c r="A27" s="47" t="s">
        <v>26</v>
      </c>
      <c r="B27" s="47"/>
      <c r="C27" s="47"/>
      <c r="D27" s="47"/>
      <c r="E27" s="47"/>
      <c r="F27" s="47"/>
      <c r="G27" s="47"/>
      <c r="H27" s="47"/>
      <c r="I27" s="47"/>
    </row>
    <row r="28" spans="1:11" ht="12.75" customHeight="1">
      <c r="A28" s="47" t="s">
        <v>27</v>
      </c>
      <c r="B28" s="47"/>
      <c r="C28" s="47"/>
      <c r="D28" s="47"/>
      <c r="E28" s="47"/>
      <c r="F28" s="47"/>
      <c r="G28" s="47"/>
      <c r="H28" s="47"/>
      <c r="I28" s="47"/>
    </row>
    <row r="29" spans="1:11" ht="12.75" customHeight="1">
      <c r="A29" s="47" t="s">
        <v>28</v>
      </c>
      <c r="B29" s="47"/>
      <c r="C29" s="47"/>
      <c r="D29" s="47"/>
      <c r="E29" s="47"/>
      <c r="F29" s="47"/>
      <c r="G29" s="47"/>
      <c r="H29" s="47"/>
      <c r="I29" s="47"/>
    </row>
    <row r="30" spans="1:11" ht="12.75" customHeight="1">
      <c r="A30" s="47" t="s">
        <v>29</v>
      </c>
      <c r="B30" s="47"/>
      <c r="C30" s="47"/>
      <c r="D30" s="47"/>
      <c r="E30" s="47"/>
      <c r="F30" s="47"/>
      <c r="G30" s="47"/>
      <c r="H30" s="47"/>
      <c r="I30" s="47"/>
    </row>
    <row r="31" spans="1:11" ht="12.75" customHeight="1">
      <c r="A31" s="47" t="s">
        <v>30</v>
      </c>
      <c r="B31" s="47"/>
      <c r="C31" s="47"/>
      <c r="D31" s="47"/>
      <c r="E31" s="47"/>
      <c r="F31" s="47"/>
      <c r="G31" s="47"/>
      <c r="H31" s="47"/>
      <c r="I31" s="47"/>
    </row>
    <row r="32" spans="1:11" ht="24.75" customHeight="1">
      <c r="A32" s="48" t="s">
        <v>31</v>
      </c>
      <c r="B32" s="48"/>
      <c r="C32" s="48"/>
      <c r="D32" s="48"/>
      <c r="E32" s="48"/>
      <c r="F32" s="48"/>
      <c r="G32" s="48"/>
      <c r="H32" s="48"/>
      <c r="I32" s="48"/>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51" t="s">
        <v>0</v>
      </c>
      <c r="B1" s="51"/>
      <c r="C1" s="51"/>
      <c r="D1" s="51"/>
      <c r="E1" s="51"/>
      <c r="F1" s="51"/>
      <c r="G1" s="51"/>
      <c r="H1" s="51"/>
      <c r="I1" s="51"/>
    </row>
    <row r="2" spans="1:9" ht="25.5">
      <c r="A2" s="52" t="s">
        <v>161</v>
      </c>
      <c r="B2" s="2" t="s">
        <v>2</v>
      </c>
      <c r="C2" s="2" t="s">
        <v>3</v>
      </c>
      <c r="D2" s="2" t="s">
        <v>4</v>
      </c>
      <c r="E2" s="3" t="s">
        <v>5</v>
      </c>
      <c r="F2" s="3" t="s">
        <v>6</v>
      </c>
      <c r="G2" s="2" t="s">
        <v>7</v>
      </c>
      <c r="H2" s="4" t="s">
        <v>8</v>
      </c>
      <c r="I2" s="5" t="s">
        <v>9</v>
      </c>
    </row>
    <row r="3" spans="1:9" ht="12.75" customHeight="1">
      <c r="A3" s="52"/>
      <c r="B3" s="57" t="s">
        <v>155</v>
      </c>
      <c r="C3" s="54" t="s">
        <v>41</v>
      </c>
      <c r="D3" s="55">
        <v>10</v>
      </c>
      <c r="E3" s="56">
        <f>IF(C20&lt;=25%,D20,MIN(E20:F20))</f>
        <v>757.25</v>
      </c>
      <c r="F3" s="56">
        <f>MIN(H3:H17)</f>
        <v>697.5</v>
      </c>
      <c r="G3" s="6" t="s">
        <v>156</v>
      </c>
      <c r="H3" s="7">
        <v>697.5</v>
      </c>
      <c r="I3" s="8">
        <f t="shared" ref="I3:I17" si="0">IF(H3="","",(IF($C$20&lt;25%,"N/A",IF(H3&lt;=($D$20+$A$20),H3,"Descartado"))))</f>
        <v>697.5</v>
      </c>
    </row>
    <row r="4" spans="1:9">
      <c r="A4" s="52"/>
      <c r="B4" s="57"/>
      <c r="C4" s="54"/>
      <c r="D4" s="55"/>
      <c r="E4" s="56"/>
      <c r="F4" s="56"/>
      <c r="G4" s="6" t="s">
        <v>157</v>
      </c>
      <c r="H4" s="7">
        <v>817</v>
      </c>
      <c r="I4" s="8">
        <f t="shared" si="0"/>
        <v>817</v>
      </c>
    </row>
    <row r="5" spans="1:9">
      <c r="A5" s="52"/>
      <c r="B5" s="57"/>
      <c r="C5" s="54"/>
      <c r="D5" s="55"/>
      <c r="E5" s="56"/>
      <c r="F5" s="56"/>
      <c r="G5" s="6" t="s">
        <v>158</v>
      </c>
      <c r="H5" s="7">
        <v>1125</v>
      </c>
      <c r="I5" s="8" t="str">
        <f t="shared" si="0"/>
        <v>Descartado</v>
      </c>
    </row>
    <row r="6" spans="1:9">
      <c r="A6" s="52"/>
      <c r="B6" s="57"/>
      <c r="C6" s="54"/>
      <c r="D6" s="55"/>
      <c r="E6" s="56"/>
      <c r="F6" s="56"/>
      <c r="G6" s="6"/>
      <c r="H6" s="7"/>
      <c r="I6" s="8" t="str">
        <f t="shared" si="0"/>
        <v/>
      </c>
    </row>
    <row r="7" spans="1:9">
      <c r="A7" s="52"/>
      <c r="B7" s="57"/>
      <c r="C7" s="54"/>
      <c r="D7" s="55"/>
      <c r="E7" s="56"/>
      <c r="F7" s="56"/>
      <c r="G7" s="6"/>
      <c r="H7" s="7"/>
      <c r="I7" s="8" t="str">
        <f t="shared" si="0"/>
        <v/>
      </c>
    </row>
    <row r="8" spans="1:9">
      <c r="A8" s="52"/>
      <c r="B8" s="57"/>
      <c r="C8" s="54"/>
      <c r="D8" s="55"/>
      <c r="E8" s="56"/>
      <c r="F8" s="56"/>
      <c r="G8" s="6"/>
      <c r="H8" s="7"/>
      <c r="I8" s="8" t="str">
        <f t="shared" si="0"/>
        <v/>
      </c>
    </row>
    <row r="9" spans="1:9">
      <c r="A9" s="52"/>
      <c r="B9" s="57"/>
      <c r="C9" s="54"/>
      <c r="D9" s="55"/>
      <c r="E9" s="56"/>
      <c r="F9" s="56"/>
      <c r="G9" s="6"/>
      <c r="H9" s="7"/>
      <c r="I9" s="8" t="str">
        <f t="shared" si="0"/>
        <v/>
      </c>
    </row>
    <row r="10" spans="1:9">
      <c r="A10" s="52"/>
      <c r="B10" s="57"/>
      <c r="C10" s="54"/>
      <c r="D10" s="55"/>
      <c r="E10" s="56"/>
      <c r="F10" s="56"/>
      <c r="G10" s="6"/>
      <c r="H10" s="7"/>
      <c r="I10" s="8" t="str">
        <f t="shared" si="0"/>
        <v/>
      </c>
    </row>
    <row r="11" spans="1:9">
      <c r="A11" s="52"/>
      <c r="B11" s="57"/>
      <c r="C11" s="54"/>
      <c r="D11" s="55"/>
      <c r="E11" s="56"/>
      <c r="F11" s="56"/>
      <c r="G11" s="6"/>
      <c r="H11" s="7"/>
      <c r="I11" s="8" t="str">
        <f t="shared" si="0"/>
        <v/>
      </c>
    </row>
    <row r="12" spans="1:9">
      <c r="A12" s="52"/>
      <c r="B12" s="57"/>
      <c r="C12" s="54"/>
      <c r="D12" s="55"/>
      <c r="E12" s="56"/>
      <c r="F12" s="56"/>
      <c r="G12" s="6"/>
      <c r="H12" s="7"/>
      <c r="I12" s="8" t="str">
        <f t="shared" si="0"/>
        <v/>
      </c>
    </row>
    <row r="13" spans="1:9">
      <c r="A13" s="52"/>
      <c r="B13" s="57"/>
      <c r="C13" s="54"/>
      <c r="D13" s="55"/>
      <c r="E13" s="56"/>
      <c r="F13" s="56"/>
      <c r="G13" s="6"/>
      <c r="H13" s="7"/>
      <c r="I13" s="8" t="str">
        <f t="shared" si="0"/>
        <v/>
      </c>
    </row>
    <row r="14" spans="1:9">
      <c r="A14" s="52"/>
      <c r="B14" s="57"/>
      <c r="C14" s="54"/>
      <c r="D14" s="55"/>
      <c r="E14" s="56"/>
      <c r="F14" s="56"/>
      <c r="G14" s="6"/>
      <c r="H14" s="7"/>
      <c r="I14" s="8" t="str">
        <f t="shared" si="0"/>
        <v/>
      </c>
    </row>
    <row r="15" spans="1:9">
      <c r="A15" s="52"/>
      <c r="B15" s="57"/>
      <c r="C15" s="54"/>
      <c r="D15" s="55"/>
      <c r="E15" s="56"/>
      <c r="F15" s="56"/>
      <c r="G15" s="6"/>
      <c r="H15" s="7"/>
      <c r="I15" s="8" t="str">
        <f t="shared" si="0"/>
        <v/>
      </c>
    </row>
    <row r="16" spans="1:9">
      <c r="A16" s="52"/>
      <c r="B16" s="57"/>
      <c r="C16" s="54"/>
      <c r="D16" s="55"/>
      <c r="E16" s="56"/>
      <c r="F16" s="56"/>
      <c r="G16" s="6"/>
      <c r="H16" s="7"/>
      <c r="I16" s="8" t="str">
        <f t="shared" si="0"/>
        <v/>
      </c>
    </row>
    <row r="17" spans="1:11">
      <c r="A17" s="52"/>
      <c r="B17" s="57"/>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16</v>
      </c>
      <c r="B19" s="5" t="s">
        <v>17</v>
      </c>
      <c r="C19" s="4" t="s">
        <v>18</v>
      </c>
      <c r="D19" s="16" t="s">
        <v>19</v>
      </c>
      <c r="E19" s="17" t="s">
        <v>20</v>
      </c>
      <c r="F19" s="16" t="s">
        <v>21</v>
      </c>
      <c r="G19" s="49" t="s">
        <v>22</v>
      </c>
      <c r="H19" s="49"/>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50"/>
      <c r="E22" s="50"/>
      <c r="F22" s="30"/>
      <c r="G22" s="31" t="s">
        <v>23</v>
      </c>
      <c r="H22" s="32">
        <f>IF(C20&lt;=25%,D20,MIN(E20:F20))</f>
        <v>757.25</v>
      </c>
    </row>
    <row r="23" spans="1:11">
      <c r="B23" s="25"/>
      <c r="C23" s="25"/>
      <c r="D23" s="50"/>
      <c r="E23" s="50"/>
      <c r="F23" s="33"/>
      <c r="G23" s="4" t="s">
        <v>24</v>
      </c>
      <c r="H23" s="24">
        <f>ROUND(H22,2)*D3</f>
        <v>7572.5</v>
      </c>
    </row>
    <row r="24" spans="1:11">
      <c r="B24" s="29"/>
      <c r="C24" s="29"/>
      <c r="D24" s="18"/>
      <c r="E24" s="18"/>
    </row>
    <row r="26" spans="1:11" ht="12.75" customHeight="1">
      <c r="A26" s="47" t="s">
        <v>25</v>
      </c>
      <c r="B26" s="47"/>
      <c r="C26" s="47"/>
      <c r="D26" s="47"/>
      <c r="E26" s="47"/>
      <c r="F26" s="47"/>
      <c r="G26" s="47"/>
      <c r="H26" s="47"/>
      <c r="I26" s="47"/>
    </row>
    <row r="27" spans="1:11" ht="12.75" customHeight="1">
      <c r="A27" s="47" t="s">
        <v>26</v>
      </c>
      <c r="B27" s="47"/>
      <c r="C27" s="47"/>
      <c r="D27" s="47"/>
      <c r="E27" s="47"/>
      <c r="F27" s="47"/>
      <c r="G27" s="47"/>
      <c r="H27" s="47"/>
      <c r="I27" s="47"/>
    </row>
    <row r="28" spans="1:11" ht="12.75" customHeight="1">
      <c r="A28" s="47" t="s">
        <v>27</v>
      </c>
      <c r="B28" s="47"/>
      <c r="C28" s="47"/>
      <c r="D28" s="47"/>
      <c r="E28" s="47"/>
      <c r="F28" s="47"/>
      <c r="G28" s="47"/>
      <c r="H28" s="47"/>
      <c r="I28" s="47"/>
    </row>
    <row r="29" spans="1:11" ht="12.75" customHeight="1">
      <c r="A29" s="47" t="s">
        <v>28</v>
      </c>
      <c r="B29" s="47"/>
      <c r="C29" s="47"/>
      <c r="D29" s="47"/>
      <c r="E29" s="47"/>
      <c r="F29" s="47"/>
      <c r="G29" s="47"/>
      <c r="H29" s="47"/>
      <c r="I29" s="47"/>
    </row>
    <row r="30" spans="1:11" ht="12.75" customHeight="1">
      <c r="A30" s="47" t="s">
        <v>29</v>
      </c>
      <c r="B30" s="47"/>
      <c r="C30" s="47"/>
      <c r="D30" s="47"/>
      <c r="E30" s="47"/>
      <c r="F30" s="47"/>
      <c r="G30" s="47"/>
      <c r="H30" s="47"/>
      <c r="I30" s="47"/>
    </row>
    <row r="31" spans="1:11" ht="12.75" customHeight="1">
      <c r="A31" s="47" t="s">
        <v>30</v>
      </c>
      <c r="B31" s="47"/>
      <c r="C31" s="47"/>
      <c r="D31" s="47"/>
      <c r="E31" s="47"/>
      <c r="F31" s="47"/>
      <c r="G31" s="47"/>
      <c r="H31" s="47"/>
      <c r="I31" s="47"/>
    </row>
    <row r="32" spans="1:11" ht="24.75" customHeight="1">
      <c r="A32" s="48" t="s">
        <v>31</v>
      </c>
      <c r="B32" s="48"/>
      <c r="C32" s="48"/>
      <c r="D32" s="48"/>
      <c r="E32" s="48"/>
      <c r="F32" s="48"/>
      <c r="G32" s="48"/>
      <c r="H32" s="48"/>
      <c r="I32" s="48"/>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51" t="s">
        <v>0</v>
      </c>
      <c r="B1" s="51"/>
      <c r="C1" s="51"/>
      <c r="D1" s="51"/>
      <c r="E1" s="51"/>
      <c r="F1" s="51"/>
      <c r="G1" s="51"/>
      <c r="H1" s="51"/>
      <c r="I1" s="51"/>
    </row>
    <row r="2" spans="1:9" ht="25.5">
      <c r="A2" s="52" t="s">
        <v>162</v>
      </c>
      <c r="B2" s="2" t="s">
        <v>2</v>
      </c>
      <c r="C2" s="2" t="s">
        <v>3</v>
      </c>
      <c r="D2" s="2" t="s">
        <v>4</v>
      </c>
      <c r="E2" s="3" t="s">
        <v>5</v>
      </c>
      <c r="F2" s="3" t="s">
        <v>6</v>
      </c>
      <c r="G2" s="2" t="s">
        <v>7</v>
      </c>
      <c r="H2" s="4" t="s">
        <v>8</v>
      </c>
      <c r="I2" s="5" t="s">
        <v>9</v>
      </c>
    </row>
    <row r="3" spans="1:9" ht="12.75" customHeight="1">
      <c r="A3" s="52"/>
      <c r="B3" s="57" t="s">
        <v>155</v>
      </c>
      <c r="C3" s="54" t="s">
        <v>41</v>
      </c>
      <c r="D3" s="55">
        <v>10</v>
      </c>
      <c r="E3" s="56">
        <f>IF(C20&lt;=25%,D20,MIN(E20:F20))</f>
        <v>757.25</v>
      </c>
      <c r="F3" s="56">
        <f>MIN(H3:H17)</f>
        <v>697.5</v>
      </c>
      <c r="G3" s="6" t="s">
        <v>156</v>
      </c>
      <c r="H3" s="7">
        <v>697.5</v>
      </c>
      <c r="I3" s="8">
        <f t="shared" ref="I3:I17" si="0">IF(H3="","",(IF($C$20&lt;25%,"N/A",IF(H3&lt;=($D$20+$A$20),H3,"Descartado"))))</f>
        <v>697.5</v>
      </c>
    </row>
    <row r="4" spans="1:9">
      <c r="A4" s="52"/>
      <c r="B4" s="57"/>
      <c r="C4" s="54"/>
      <c r="D4" s="55"/>
      <c r="E4" s="56"/>
      <c r="F4" s="56"/>
      <c r="G4" s="6" t="s">
        <v>157</v>
      </c>
      <c r="H4" s="7">
        <v>817</v>
      </c>
      <c r="I4" s="8">
        <f t="shared" si="0"/>
        <v>817</v>
      </c>
    </row>
    <row r="5" spans="1:9">
      <c r="A5" s="52"/>
      <c r="B5" s="57"/>
      <c r="C5" s="54"/>
      <c r="D5" s="55"/>
      <c r="E5" s="56"/>
      <c r="F5" s="56"/>
      <c r="G5" s="6" t="s">
        <v>158</v>
      </c>
      <c r="H5" s="7">
        <v>1125</v>
      </c>
      <c r="I5" s="8" t="str">
        <f t="shared" si="0"/>
        <v>Descartado</v>
      </c>
    </row>
    <row r="6" spans="1:9">
      <c r="A6" s="52"/>
      <c r="B6" s="57"/>
      <c r="C6" s="54"/>
      <c r="D6" s="55"/>
      <c r="E6" s="56"/>
      <c r="F6" s="56"/>
      <c r="G6" s="6"/>
      <c r="H6" s="7"/>
      <c r="I6" s="8" t="str">
        <f t="shared" si="0"/>
        <v/>
      </c>
    </row>
    <row r="7" spans="1:9">
      <c r="A7" s="52"/>
      <c r="B7" s="57"/>
      <c r="C7" s="54"/>
      <c r="D7" s="55"/>
      <c r="E7" s="56"/>
      <c r="F7" s="56"/>
      <c r="G7" s="6"/>
      <c r="H7" s="7"/>
      <c r="I7" s="8" t="str">
        <f t="shared" si="0"/>
        <v/>
      </c>
    </row>
    <row r="8" spans="1:9">
      <c r="A8" s="52"/>
      <c r="B8" s="57"/>
      <c r="C8" s="54"/>
      <c r="D8" s="55"/>
      <c r="E8" s="56"/>
      <c r="F8" s="56"/>
      <c r="G8" s="6"/>
      <c r="H8" s="7"/>
      <c r="I8" s="8" t="str">
        <f t="shared" si="0"/>
        <v/>
      </c>
    </row>
    <row r="9" spans="1:9">
      <c r="A9" s="52"/>
      <c r="B9" s="57"/>
      <c r="C9" s="54"/>
      <c r="D9" s="55"/>
      <c r="E9" s="56"/>
      <c r="F9" s="56"/>
      <c r="G9" s="6"/>
      <c r="H9" s="7"/>
      <c r="I9" s="8" t="str">
        <f t="shared" si="0"/>
        <v/>
      </c>
    </row>
    <row r="10" spans="1:9">
      <c r="A10" s="52"/>
      <c r="B10" s="57"/>
      <c r="C10" s="54"/>
      <c r="D10" s="55"/>
      <c r="E10" s="56"/>
      <c r="F10" s="56"/>
      <c r="G10" s="6"/>
      <c r="H10" s="7"/>
      <c r="I10" s="8" t="str">
        <f t="shared" si="0"/>
        <v/>
      </c>
    </row>
    <row r="11" spans="1:9">
      <c r="A11" s="52"/>
      <c r="B11" s="57"/>
      <c r="C11" s="54"/>
      <c r="D11" s="55"/>
      <c r="E11" s="56"/>
      <c r="F11" s="56"/>
      <c r="G11" s="6"/>
      <c r="H11" s="7"/>
      <c r="I11" s="8" t="str">
        <f t="shared" si="0"/>
        <v/>
      </c>
    </row>
    <row r="12" spans="1:9">
      <c r="A12" s="52"/>
      <c r="B12" s="57"/>
      <c r="C12" s="54"/>
      <c r="D12" s="55"/>
      <c r="E12" s="56"/>
      <c r="F12" s="56"/>
      <c r="G12" s="6"/>
      <c r="H12" s="7"/>
      <c r="I12" s="8" t="str">
        <f t="shared" si="0"/>
        <v/>
      </c>
    </row>
    <row r="13" spans="1:9">
      <c r="A13" s="52"/>
      <c r="B13" s="57"/>
      <c r="C13" s="54"/>
      <c r="D13" s="55"/>
      <c r="E13" s="56"/>
      <c r="F13" s="56"/>
      <c r="G13" s="6"/>
      <c r="H13" s="7"/>
      <c r="I13" s="8" t="str">
        <f t="shared" si="0"/>
        <v/>
      </c>
    </row>
    <row r="14" spans="1:9">
      <c r="A14" s="52"/>
      <c r="B14" s="57"/>
      <c r="C14" s="54"/>
      <c r="D14" s="55"/>
      <c r="E14" s="56"/>
      <c r="F14" s="56"/>
      <c r="G14" s="6"/>
      <c r="H14" s="7"/>
      <c r="I14" s="8" t="str">
        <f t="shared" si="0"/>
        <v/>
      </c>
    </row>
    <row r="15" spans="1:9">
      <c r="A15" s="52"/>
      <c r="B15" s="57"/>
      <c r="C15" s="54"/>
      <c r="D15" s="55"/>
      <c r="E15" s="56"/>
      <c r="F15" s="56"/>
      <c r="G15" s="6"/>
      <c r="H15" s="7"/>
      <c r="I15" s="8" t="str">
        <f t="shared" si="0"/>
        <v/>
      </c>
    </row>
    <row r="16" spans="1:9">
      <c r="A16" s="52"/>
      <c r="B16" s="57"/>
      <c r="C16" s="54"/>
      <c r="D16" s="55"/>
      <c r="E16" s="56"/>
      <c r="F16" s="56"/>
      <c r="G16" s="6"/>
      <c r="H16" s="7"/>
      <c r="I16" s="8" t="str">
        <f t="shared" si="0"/>
        <v/>
      </c>
    </row>
    <row r="17" spans="1:11">
      <c r="A17" s="52"/>
      <c r="B17" s="57"/>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16</v>
      </c>
      <c r="B19" s="5" t="s">
        <v>17</v>
      </c>
      <c r="C19" s="4" t="s">
        <v>18</v>
      </c>
      <c r="D19" s="16" t="s">
        <v>19</v>
      </c>
      <c r="E19" s="17" t="s">
        <v>20</v>
      </c>
      <c r="F19" s="16" t="s">
        <v>21</v>
      </c>
      <c r="G19" s="49" t="s">
        <v>22</v>
      </c>
      <c r="H19" s="49"/>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50"/>
      <c r="E22" s="50"/>
      <c r="F22" s="30"/>
      <c r="G22" s="31" t="s">
        <v>23</v>
      </c>
      <c r="H22" s="32">
        <f>IF(C20&lt;=25%,D20,MIN(E20:F20))</f>
        <v>757.25</v>
      </c>
    </row>
    <row r="23" spans="1:11">
      <c r="B23" s="25"/>
      <c r="C23" s="25"/>
      <c r="D23" s="50"/>
      <c r="E23" s="50"/>
      <c r="F23" s="33"/>
      <c r="G23" s="4" t="s">
        <v>24</v>
      </c>
      <c r="H23" s="24">
        <f>ROUND(H22,2)*D3</f>
        <v>7572.5</v>
      </c>
    </row>
    <row r="24" spans="1:11">
      <c r="B24" s="29"/>
      <c r="C24" s="29"/>
      <c r="D24" s="18"/>
      <c r="E24" s="18"/>
    </row>
    <row r="26" spans="1:11" ht="12.75" customHeight="1">
      <c r="A26" s="47" t="s">
        <v>25</v>
      </c>
      <c r="B26" s="47"/>
      <c r="C26" s="47"/>
      <c r="D26" s="47"/>
      <c r="E26" s="47"/>
      <c r="F26" s="47"/>
      <c r="G26" s="47"/>
      <c r="H26" s="47"/>
      <c r="I26" s="47"/>
    </row>
    <row r="27" spans="1:11" ht="12.75" customHeight="1">
      <c r="A27" s="47" t="s">
        <v>26</v>
      </c>
      <c r="B27" s="47"/>
      <c r="C27" s="47"/>
      <c r="D27" s="47"/>
      <c r="E27" s="47"/>
      <c r="F27" s="47"/>
      <c r="G27" s="47"/>
      <c r="H27" s="47"/>
      <c r="I27" s="47"/>
    </row>
    <row r="28" spans="1:11" ht="12.75" customHeight="1">
      <c r="A28" s="47" t="s">
        <v>27</v>
      </c>
      <c r="B28" s="47"/>
      <c r="C28" s="47"/>
      <c r="D28" s="47"/>
      <c r="E28" s="47"/>
      <c r="F28" s="47"/>
      <c r="G28" s="47"/>
      <c r="H28" s="47"/>
      <c r="I28" s="47"/>
    </row>
    <row r="29" spans="1:11" ht="12.75" customHeight="1">
      <c r="A29" s="47" t="s">
        <v>28</v>
      </c>
      <c r="B29" s="47"/>
      <c r="C29" s="47"/>
      <c r="D29" s="47"/>
      <c r="E29" s="47"/>
      <c r="F29" s="47"/>
      <c r="G29" s="47"/>
      <c r="H29" s="47"/>
      <c r="I29" s="47"/>
    </row>
    <row r="30" spans="1:11" ht="12.75" customHeight="1">
      <c r="A30" s="47" t="s">
        <v>29</v>
      </c>
      <c r="B30" s="47"/>
      <c r="C30" s="47"/>
      <c r="D30" s="47"/>
      <c r="E30" s="47"/>
      <c r="F30" s="47"/>
      <c r="G30" s="47"/>
      <c r="H30" s="47"/>
      <c r="I30" s="47"/>
    </row>
    <row r="31" spans="1:11" ht="12.75" customHeight="1">
      <c r="A31" s="47" t="s">
        <v>30</v>
      </c>
      <c r="B31" s="47"/>
      <c r="C31" s="47"/>
      <c r="D31" s="47"/>
      <c r="E31" s="47"/>
      <c r="F31" s="47"/>
      <c r="G31" s="47"/>
      <c r="H31" s="47"/>
      <c r="I31" s="47"/>
    </row>
    <row r="32" spans="1:11" ht="24.75" customHeight="1">
      <c r="A32" s="48" t="s">
        <v>31</v>
      </c>
      <c r="B32" s="48"/>
      <c r="C32" s="48"/>
      <c r="D32" s="48"/>
      <c r="E32" s="48"/>
      <c r="F32" s="48"/>
      <c r="G32" s="48"/>
      <c r="H32" s="48"/>
      <c r="I32" s="48"/>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H9" sqref="H9"/>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51" t="s">
        <v>0</v>
      </c>
      <c r="B1" s="51"/>
      <c r="C1" s="51"/>
      <c r="D1" s="51"/>
      <c r="E1" s="51"/>
      <c r="F1" s="51"/>
      <c r="G1" s="51"/>
      <c r="H1" s="51"/>
      <c r="I1" s="51"/>
    </row>
    <row r="2" spans="1:9" ht="25.5">
      <c r="A2" s="52" t="s">
        <v>39</v>
      </c>
      <c r="B2" s="2" t="s">
        <v>2</v>
      </c>
      <c r="C2" s="2" t="s">
        <v>3</v>
      </c>
      <c r="D2" s="2" t="s">
        <v>4</v>
      </c>
      <c r="E2" s="3" t="s">
        <v>5</v>
      </c>
      <c r="F2" s="3" t="s">
        <v>6</v>
      </c>
      <c r="G2" s="2" t="s">
        <v>7</v>
      </c>
      <c r="H2" s="4" t="s">
        <v>8</v>
      </c>
      <c r="I2" s="5" t="s">
        <v>9</v>
      </c>
    </row>
    <row r="3" spans="1:9" ht="12.75" customHeight="1">
      <c r="A3" s="52"/>
      <c r="B3" s="57" t="s">
        <v>40</v>
      </c>
      <c r="C3" s="54" t="s">
        <v>41</v>
      </c>
      <c r="D3" s="55">
        <v>2000</v>
      </c>
      <c r="E3" s="56">
        <f>IF(C20&lt;=25%,D20,MIN(E20:F20))</f>
        <v>5.49</v>
      </c>
      <c r="F3" s="56">
        <f>MIN(H3:H17)</f>
        <v>4.9133517299999996</v>
      </c>
      <c r="G3" s="6" t="s">
        <v>42</v>
      </c>
      <c r="H3" s="7">
        <f>4.59*1.070447</f>
        <v>4.9133517299999996</v>
      </c>
      <c r="I3" s="8">
        <f t="shared" ref="I3:I17" si="0">IF(H3="","",(IF($C$20&lt;25%,"N/A",IF(H3&lt;=($D$20+$A$20),H3,"Descartado"))))</f>
        <v>4.9133517299999996</v>
      </c>
    </row>
    <row r="4" spans="1:9">
      <c r="A4" s="52"/>
      <c r="B4" s="57"/>
      <c r="C4" s="54"/>
      <c r="D4" s="55"/>
      <c r="E4" s="56"/>
      <c r="F4" s="56"/>
      <c r="G4" s="6" t="s">
        <v>43</v>
      </c>
      <c r="H4" s="7">
        <f>4.6*1.070447</f>
        <v>4.924056199999999</v>
      </c>
      <c r="I4" s="8">
        <f t="shared" si="0"/>
        <v>4.924056199999999</v>
      </c>
    </row>
    <row r="5" spans="1:9">
      <c r="A5" s="52"/>
      <c r="B5" s="57"/>
      <c r="C5" s="54"/>
      <c r="D5" s="55"/>
      <c r="E5" s="56"/>
      <c r="F5" s="56"/>
      <c r="G5" s="6" t="s">
        <v>35</v>
      </c>
      <c r="H5" s="7">
        <f>4.92*1.070447</f>
        <v>5.2665992399999997</v>
      </c>
      <c r="I5" s="8">
        <f t="shared" si="0"/>
        <v>5.2665992399999997</v>
      </c>
    </row>
    <row r="6" spans="1:9">
      <c r="A6" s="52"/>
      <c r="B6" s="57"/>
      <c r="C6" s="54"/>
      <c r="D6" s="55"/>
      <c r="E6" s="56"/>
      <c r="F6" s="56"/>
      <c r="G6" s="6" t="s">
        <v>44</v>
      </c>
      <c r="H6" s="7">
        <f>5.48*1.070447</f>
        <v>5.8660495600000004</v>
      </c>
      <c r="I6" s="8">
        <f t="shared" si="0"/>
        <v>5.8660495600000004</v>
      </c>
    </row>
    <row r="7" spans="1:9">
      <c r="A7" s="52"/>
      <c r="B7" s="57"/>
      <c r="C7" s="54"/>
      <c r="D7" s="55"/>
      <c r="E7" s="56"/>
      <c r="F7" s="56"/>
      <c r="G7" s="6" t="s">
        <v>45</v>
      </c>
      <c r="H7" s="7">
        <f>6.06*1.070447</f>
        <v>6.4869088199999991</v>
      </c>
      <c r="I7" s="8">
        <f t="shared" si="0"/>
        <v>6.4869088199999991</v>
      </c>
    </row>
    <row r="8" spans="1:9">
      <c r="A8" s="52"/>
      <c r="B8" s="57"/>
      <c r="C8" s="54"/>
      <c r="D8" s="55"/>
      <c r="E8" s="56"/>
      <c r="F8" s="56"/>
      <c r="G8" s="6" t="s">
        <v>46</v>
      </c>
      <c r="H8" s="7">
        <f>13.3*1.070447</f>
        <v>14.2369451</v>
      </c>
      <c r="I8" s="8" t="str">
        <f t="shared" si="0"/>
        <v>Descartado</v>
      </c>
    </row>
    <row r="9" spans="1:9">
      <c r="A9" s="52"/>
      <c r="B9" s="57"/>
      <c r="C9" s="54"/>
      <c r="D9" s="55"/>
      <c r="E9" s="56"/>
      <c r="F9" s="56"/>
      <c r="G9" s="6"/>
      <c r="H9" s="7"/>
      <c r="I9" s="8" t="str">
        <f t="shared" si="0"/>
        <v/>
      </c>
    </row>
    <row r="10" spans="1:9">
      <c r="A10" s="52"/>
      <c r="B10" s="57"/>
      <c r="C10" s="54"/>
      <c r="D10" s="55"/>
      <c r="E10" s="56"/>
      <c r="F10" s="56"/>
      <c r="G10" s="6"/>
      <c r="H10" s="7"/>
      <c r="I10" s="8" t="str">
        <f t="shared" si="0"/>
        <v/>
      </c>
    </row>
    <row r="11" spans="1:9">
      <c r="A11" s="52"/>
      <c r="B11" s="57"/>
      <c r="C11" s="54"/>
      <c r="D11" s="55"/>
      <c r="E11" s="56"/>
      <c r="F11" s="56"/>
      <c r="G11" s="6"/>
      <c r="H11" s="7"/>
      <c r="I11" s="8" t="str">
        <f t="shared" si="0"/>
        <v/>
      </c>
    </row>
    <row r="12" spans="1:9">
      <c r="A12" s="52"/>
      <c r="B12" s="57"/>
      <c r="C12" s="54"/>
      <c r="D12" s="55"/>
      <c r="E12" s="56"/>
      <c r="F12" s="56"/>
      <c r="G12" s="6"/>
      <c r="H12" s="7"/>
      <c r="I12" s="8" t="str">
        <f t="shared" si="0"/>
        <v/>
      </c>
    </row>
    <row r="13" spans="1:9">
      <c r="A13" s="52"/>
      <c r="B13" s="57"/>
      <c r="C13" s="54"/>
      <c r="D13" s="55"/>
      <c r="E13" s="56"/>
      <c r="F13" s="56"/>
      <c r="G13" s="6"/>
      <c r="H13" s="7"/>
      <c r="I13" s="8" t="str">
        <f t="shared" si="0"/>
        <v/>
      </c>
    </row>
    <row r="14" spans="1:9">
      <c r="A14" s="52"/>
      <c r="B14" s="57"/>
      <c r="C14" s="54"/>
      <c r="D14" s="55"/>
      <c r="E14" s="56"/>
      <c r="F14" s="56"/>
      <c r="G14" s="6"/>
      <c r="H14" s="7"/>
      <c r="I14" s="8" t="str">
        <f t="shared" si="0"/>
        <v/>
      </c>
    </row>
    <row r="15" spans="1:9">
      <c r="A15" s="52"/>
      <c r="B15" s="57"/>
      <c r="C15" s="54"/>
      <c r="D15" s="55"/>
      <c r="E15" s="56"/>
      <c r="F15" s="56"/>
      <c r="G15" s="6"/>
      <c r="H15" s="7"/>
      <c r="I15" s="8" t="str">
        <f t="shared" si="0"/>
        <v/>
      </c>
    </row>
    <row r="16" spans="1:9">
      <c r="A16" s="52"/>
      <c r="B16" s="57"/>
      <c r="C16" s="54"/>
      <c r="D16" s="55"/>
      <c r="E16" s="56"/>
      <c r="F16" s="56"/>
      <c r="G16" s="6"/>
      <c r="H16" s="7"/>
      <c r="I16" s="8" t="str">
        <f t="shared" si="0"/>
        <v/>
      </c>
    </row>
    <row r="17" spans="1:11">
      <c r="A17" s="52"/>
      <c r="B17" s="57"/>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16</v>
      </c>
      <c r="B19" s="5" t="s">
        <v>17</v>
      </c>
      <c r="C19" s="4" t="s">
        <v>18</v>
      </c>
      <c r="D19" s="16" t="s">
        <v>19</v>
      </c>
      <c r="E19" s="17" t="s">
        <v>20</v>
      </c>
      <c r="F19" s="16" t="s">
        <v>21</v>
      </c>
      <c r="G19" s="49" t="s">
        <v>22</v>
      </c>
      <c r="H19" s="49"/>
      <c r="I19" s="18"/>
    </row>
    <row r="20" spans="1:11">
      <c r="A20" s="19">
        <f>IF(B20&lt;2,"N/A",(STDEV(H3:H17)))</f>
        <v>3.6214689639143542</v>
      </c>
      <c r="B20" s="19">
        <f>COUNT(H3:H17)</f>
        <v>6</v>
      </c>
      <c r="C20" s="20">
        <f>IF(B20&lt;2,"N/A",(A20/D20))</f>
        <v>0.5210746710668136</v>
      </c>
      <c r="D20" s="21">
        <f>ROUND(AVERAGE(H3:H17),2)</f>
        <v>6.95</v>
      </c>
      <c r="E20" s="22">
        <f>IFERROR(ROUND(IF(B20&lt;2,"N/A",(IF(C20&lt;=25%,"N/A",AVERAGE(I3:I17)))),2),"N/A")</f>
        <v>5.49</v>
      </c>
      <c r="F20" s="22">
        <f>ROUND(MEDIAN(H3:H17),2)</f>
        <v>5.57</v>
      </c>
      <c r="G20" s="23" t="str">
        <f>INDEX(G3:G17,MATCH(H20,H3:H17,0))</f>
        <v>IGOR RAPHAEL GUIMARAES SOARES</v>
      </c>
      <c r="H20" s="24">
        <f>MIN(H3:H17)</f>
        <v>4.9133517299999996</v>
      </c>
      <c r="I20" s="18"/>
    </row>
    <row r="21" spans="1:11">
      <c r="A21" s="25"/>
      <c r="B21" s="18"/>
      <c r="C21" s="26"/>
      <c r="D21" s="26"/>
      <c r="E21" s="26"/>
      <c r="F21" s="26"/>
      <c r="G21" s="18"/>
      <c r="H21" s="27"/>
      <c r="I21" s="28"/>
      <c r="J21" s="28"/>
      <c r="K21" s="28"/>
    </row>
    <row r="22" spans="1:11">
      <c r="B22" s="25"/>
      <c r="C22" s="25"/>
      <c r="D22" s="50"/>
      <c r="E22" s="50"/>
      <c r="F22" s="30"/>
      <c r="G22" s="31" t="s">
        <v>23</v>
      </c>
      <c r="H22" s="32">
        <f>IF(C20&lt;=25%,D20,MIN(E20:F20))</f>
        <v>5.49</v>
      </c>
    </row>
    <row r="23" spans="1:11">
      <c r="B23" s="25"/>
      <c r="C23" s="25"/>
      <c r="D23" s="50"/>
      <c r="E23" s="50"/>
      <c r="F23" s="33"/>
      <c r="G23" s="4" t="s">
        <v>24</v>
      </c>
      <c r="H23" s="24">
        <f>ROUND(H22,2)*D3</f>
        <v>10980</v>
      </c>
    </row>
    <row r="24" spans="1:11">
      <c r="B24" s="29"/>
      <c r="C24" s="29"/>
      <c r="D24" s="18"/>
      <c r="E24" s="18"/>
    </row>
    <row r="26" spans="1:11" ht="12.75" customHeight="1">
      <c r="A26" s="47" t="s">
        <v>25</v>
      </c>
      <c r="B26" s="47"/>
      <c r="C26" s="47"/>
      <c r="D26" s="47"/>
      <c r="E26" s="47"/>
      <c r="F26" s="47"/>
      <c r="G26" s="47"/>
      <c r="H26" s="47"/>
      <c r="I26" s="47"/>
    </row>
    <row r="27" spans="1:11" ht="12.75" customHeight="1">
      <c r="A27" s="47" t="s">
        <v>26</v>
      </c>
      <c r="B27" s="47"/>
      <c r="C27" s="47"/>
      <c r="D27" s="47"/>
      <c r="E27" s="47"/>
      <c r="F27" s="47"/>
      <c r="G27" s="47"/>
      <c r="H27" s="47"/>
      <c r="I27" s="47"/>
    </row>
    <row r="28" spans="1:11" ht="12.75" customHeight="1">
      <c r="A28" s="47" t="s">
        <v>27</v>
      </c>
      <c r="B28" s="47"/>
      <c r="C28" s="47"/>
      <c r="D28" s="47"/>
      <c r="E28" s="47"/>
      <c r="F28" s="47"/>
      <c r="G28" s="47"/>
      <c r="H28" s="47"/>
      <c r="I28" s="47"/>
    </row>
    <row r="29" spans="1:11" ht="12.75" customHeight="1">
      <c r="A29" s="47" t="s">
        <v>28</v>
      </c>
      <c r="B29" s="47"/>
      <c r="C29" s="47"/>
      <c r="D29" s="47"/>
      <c r="E29" s="47"/>
      <c r="F29" s="47"/>
      <c r="G29" s="47"/>
      <c r="H29" s="47"/>
      <c r="I29" s="47"/>
    </row>
    <row r="30" spans="1:11" ht="12.75" customHeight="1">
      <c r="A30" s="47" t="s">
        <v>29</v>
      </c>
      <c r="B30" s="47"/>
      <c r="C30" s="47"/>
      <c r="D30" s="47"/>
      <c r="E30" s="47"/>
      <c r="F30" s="47"/>
      <c r="G30" s="47"/>
      <c r="H30" s="47"/>
      <c r="I30" s="47"/>
    </row>
    <row r="31" spans="1:11" ht="12.75" customHeight="1">
      <c r="A31" s="47" t="s">
        <v>30</v>
      </c>
      <c r="B31" s="47"/>
      <c r="C31" s="47"/>
      <c r="D31" s="47"/>
      <c r="E31" s="47"/>
      <c r="F31" s="47"/>
      <c r="G31" s="47"/>
      <c r="H31" s="47"/>
      <c r="I31" s="47"/>
    </row>
    <row r="32" spans="1:11" ht="24.75" customHeight="1">
      <c r="A32" s="48" t="s">
        <v>31</v>
      </c>
      <c r="B32" s="48"/>
      <c r="C32" s="48"/>
      <c r="D32" s="48"/>
      <c r="E32" s="48"/>
      <c r="F32" s="48"/>
      <c r="G32" s="48"/>
      <c r="H32" s="48"/>
      <c r="I32" s="48"/>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J2" sqref="J2"/>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51" t="s">
        <v>0</v>
      </c>
      <c r="B1" s="51"/>
      <c r="C1" s="51"/>
      <c r="D1" s="51"/>
      <c r="E1" s="51"/>
      <c r="F1" s="51"/>
      <c r="G1" s="51"/>
      <c r="H1" s="51"/>
      <c r="I1" s="51"/>
    </row>
    <row r="2" spans="1:9" ht="25.5">
      <c r="A2" s="52" t="s">
        <v>163</v>
      </c>
      <c r="B2" s="2" t="s">
        <v>2</v>
      </c>
      <c r="C2" s="2" t="s">
        <v>3</v>
      </c>
      <c r="D2" s="2" t="s">
        <v>4</v>
      </c>
      <c r="E2" s="3" t="s">
        <v>5</v>
      </c>
      <c r="F2" s="3" t="s">
        <v>6</v>
      </c>
      <c r="G2" s="2" t="s">
        <v>7</v>
      </c>
      <c r="H2" s="4" t="s">
        <v>8</v>
      </c>
      <c r="I2" s="5" t="s">
        <v>9</v>
      </c>
    </row>
    <row r="3" spans="1:9" ht="12.75" customHeight="1">
      <c r="A3" s="52"/>
      <c r="B3" s="57" t="s">
        <v>155</v>
      </c>
      <c r="C3" s="54" t="s">
        <v>41</v>
      </c>
      <c r="D3" s="55">
        <v>10</v>
      </c>
      <c r="E3" s="56">
        <f>IF(C20&lt;=25%,D20,MIN(E20:F20))</f>
        <v>757.25</v>
      </c>
      <c r="F3" s="56">
        <f>MIN(H3:H17)</f>
        <v>697.5</v>
      </c>
      <c r="G3" s="6" t="s">
        <v>156</v>
      </c>
      <c r="H3" s="7">
        <v>697.5</v>
      </c>
      <c r="I3" s="8">
        <f t="shared" ref="I3:I17" si="0">IF(H3="","",(IF($C$20&lt;25%,"N/A",IF(H3&lt;=($D$20+$A$20),H3,"Descartado"))))</f>
        <v>697.5</v>
      </c>
    </row>
    <row r="4" spans="1:9">
      <c r="A4" s="52"/>
      <c r="B4" s="57"/>
      <c r="C4" s="54"/>
      <c r="D4" s="55"/>
      <c r="E4" s="56"/>
      <c r="F4" s="56"/>
      <c r="G4" s="6" t="s">
        <v>157</v>
      </c>
      <c r="H4" s="7">
        <v>817</v>
      </c>
      <c r="I4" s="8">
        <f t="shared" si="0"/>
        <v>817</v>
      </c>
    </row>
    <row r="5" spans="1:9">
      <c r="A5" s="52"/>
      <c r="B5" s="57"/>
      <c r="C5" s="54"/>
      <c r="D5" s="55"/>
      <c r="E5" s="56"/>
      <c r="F5" s="56"/>
      <c r="G5" s="6" t="s">
        <v>158</v>
      </c>
      <c r="H5" s="7">
        <v>1125</v>
      </c>
      <c r="I5" s="8" t="str">
        <f t="shared" si="0"/>
        <v>Descartado</v>
      </c>
    </row>
    <row r="6" spans="1:9">
      <c r="A6" s="52"/>
      <c r="B6" s="57"/>
      <c r="C6" s="54"/>
      <c r="D6" s="55"/>
      <c r="E6" s="56"/>
      <c r="F6" s="56"/>
      <c r="G6" s="6"/>
      <c r="H6" s="7"/>
      <c r="I6" s="8" t="str">
        <f t="shared" si="0"/>
        <v/>
      </c>
    </row>
    <row r="7" spans="1:9">
      <c r="A7" s="52"/>
      <c r="B7" s="57"/>
      <c r="C7" s="54"/>
      <c r="D7" s="55"/>
      <c r="E7" s="56"/>
      <c r="F7" s="56"/>
      <c r="G7" s="6"/>
      <c r="H7" s="7"/>
      <c r="I7" s="8" t="str">
        <f t="shared" si="0"/>
        <v/>
      </c>
    </row>
    <row r="8" spans="1:9">
      <c r="A8" s="52"/>
      <c r="B8" s="57"/>
      <c r="C8" s="54"/>
      <c r="D8" s="55"/>
      <c r="E8" s="56"/>
      <c r="F8" s="56"/>
      <c r="G8" s="6"/>
      <c r="H8" s="7"/>
      <c r="I8" s="8" t="str">
        <f t="shared" si="0"/>
        <v/>
      </c>
    </row>
    <row r="9" spans="1:9">
      <c r="A9" s="52"/>
      <c r="B9" s="57"/>
      <c r="C9" s="54"/>
      <c r="D9" s="55"/>
      <c r="E9" s="56"/>
      <c r="F9" s="56"/>
      <c r="G9" s="6"/>
      <c r="H9" s="7"/>
      <c r="I9" s="8" t="str">
        <f t="shared" si="0"/>
        <v/>
      </c>
    </row>
    <row r="10" spans="1:9">
      <c r="A10" s="52"/>
      <c r="B10" s="57"/>
      <c r="C10" s="54"/>
      <c r="D10" s="55"/>
      <c r="E10" s="56"/>
      <c r="F10" s="56"/>
      <c r="G10" s="6"/>
      <c r="H10" s="7"/>
      <c r="I10" s="8" t="str">
        <f t="shared" si="0"/>
        <v/>
      </c>
    </row>
    <row r="11" spans="1:9">
      <c r="A11" s="52"/>
      <c r="B11" s="57"/>
      <c r="C11" s="54"/>
      <c r="D11" s="55"/>
      <c r="E11" s="56"/>
      <c r="F11" s="56"/>
      <c r="G11" s="6"/>
      <c r="H11" s="7"/>
      <c r="I11" s="8" t="str">
        <f t="shared" si="0"/>
        <v/>
      </c>
    </row>
    <row r="12" spans="1:9">
      <c r="A12" s="52"/>
      <c r="B12" s="57"/>
      <c r="C12" s="54"/>
      <c r="D12" s="55"/>
      <c r="E12" s="56"/>
      <c r="F12" s="56"/>
      <c r="G12" s="6"/>
      <c r="H12" s="7"/>
      <c r="I12" s="8" t="str">
        <f t="shared" si="0"/>
        <v/>
      </c>
    </row>
    <row r="13" spans="1:9">
      <c r="A13" s="52"/>
      <c r="B13" s="57"/>
      <c r="C13" s="54"/>
      <c r="D13" s="55"/>
      <c r="E13" s="56"/>
      <c r="F13" s="56"/>
      <c r="G13" s="6"/>
      <c r="H13" s="7"/>
      <c r="I13" s="8" t="str">
        <f t="shared" si="0"/>
        <v/>
      </c>
    </row>
    <row r="14" spans="1:9">
      <c r="A14" s="52"/>
      <c r="B14" s="57"/>
      <c r="C14" s="54"/>
      <c r="D14" s="55"/>
      <c r="E14" s="56"/>
      <c r="F14" s="56"/>
      <c r="G14" s="6"/>
      <c r="H14" s="7"/>
      <c r="I14" s="8" t="str">
        <f t="shared" si="0"/>
        <v/>
      </c>
    </row>
    <row r="15" spans="1:9">
      <c r="A15" s="52"/>
      <c r="B15" s="57"/>
      <c r="C15" s="54"/>
      <c r="D15" s="55"/>
      <c r="E15" s="56"/>
      <c r="F15" s="56"/>
      <c r="G15" s="6"/>
      <c r="H15" s="7"/>
      <c r="I15" s="8" t="str">
        <f t="shared" si="0"/>
        <v/>
      </c>
    </row>
    <row r="16" spans="1:9">
      <c r="A16" s="52"/>
      <c r="B16" s="57"/>
      <c r="C16" s="54"/>
      <c r="D16" s="55"/>
      <c r="E16" s="56"/>
      <c r="F16" s="56"/>
      <c r="G16" s="6"/>
      <c r="H16" s="7"/>
      <c r="I16" s="8" t="str">
        <f t="shared" si="0"/>
        <v/>
      </c>
    </row>
    <row r="17" spans="1:11">
      <c r="A17" s="52"/>
      <c r="B17" s="57"/>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16</v>
      </c>
      <c r="B19" s="5" t="s">
        <v>17</v>
      </c>
      <c r="C19" s="4" t="s">
        <v>18</v>
      </c>
      <c r="D19" s="16" t="s">
        <v>19</v>
      </c>
      <c r="E19" s="17" t="s">
        <v>20</v>
      </c>
      <c r="F19" s="16" t="s">
        <v>21</v>
      </c>
      <c r="G19" s="49" t="s">
        <v>22</v>
      </c>
      <c r="H19" s="49"/>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50"/>
      <c r="E22" s="50"/>
      <c r="F22" s="30"/>
      <c r="G22" s="31" t="s">
        <v>23</v>
      </c>
      <c r="H22" s="32">
        <f>IF(C20&lt;=25%,D20,MIN(E20:F20))</f>
        <v>757.25</v>
      </c>
    </row>
    <row r="23" spans="1:11">
      <c r="B23" s="25"/>
      <c r="C23" s="25"/>
      <c r="D23" s="50"/>
      <c r="E23" s="50"/>
      <c r="F23" s="33"/>
      <c r="G23" s="4" t="s">
        <v>24</v>
      </c>
      <c r="H23" s="24">
        <f>ROUND(H22,2)*D3</f>
        <v>7572.5</v>
      </c>
    </row>
    <row r="24" spans="1:11">
      <c r="B24" s="29"/>
      <c r="C24" s="29"/>
      <c r="D24" s="18"/>
      <c r="E24" s="18"/>
    </row>
    <row r="26" spans="1:11" ht="12.75" customHeight="1">
      <c r="A26" s="47" t="s">
        <v>25</v>
      </c>
      <c r="B26" s="47"/>
      <c r="C26" s="47"/>
      <c r="D26" s="47"/>
      <c r="E26" s="47"/>
      <c r="F26" s="47"/>
      <c r="G26" s="47"/>
      <c r="H26" s="47"/>
      <c r="I26" s="47"/>
    </row>
    <row r="27" spans="1:11" ht="12.75" customHeight="1">
      <c r="A27" s="47" t="s">
        <v>26</v>
      </c>
      <c r="B27" s="47"/>
      <c r="C27" s="47"/>
      <c r="D27" s="47"/>
      <c r="E27" s="47"/>
      <c r="F27" s="47"/>
      <c r="G27" s="47"/>
      <c r="H27" s="47"/>
      <c r="I27" s="47"/>
    </row>
    <row r="28" spans="1:11" ht="12.75" customHeight="1">
      <c r="A28" s="47" t="s">
        <v>27</v>
      </c>
      <c r="B28" s="47"/>
      <c r="C28" s="47"/>
      <c r="D28" s="47"/>
      <c r="E28" s="47"/>
      <c r="F28" s="47"/>
      <c r="G28" s="47"/>
      <c r="H28" s="47"/>
      <c r="I28" s="47"/>
    </row>
    <row r="29" spans="1:11" ht="12.75" customHeight="1">
      <c r="A29" s="47" t="s">
        <v>28</v>
      </c>
      <c r="B29" s="47"/>
      <c r="C29" s="47"/>
      <c r="D29" s="47"/>
      <c r="E29" s="47"/>
      <c r="F29" s="47"/>
      <c r="G29" s="47"/>
      <c r="H29" s="47"/>
      <c r="I29" s="47"/>
    </row>
    <row r="30" spans="1:11" ht="12.75" customHeight="1">
      <c r="A30" s="47" t="s">
        <v>29</v>
      </c>
      <c r="B30" s="47"/>
      <c r="C30" s="47"/>
      <c r="D30" s="47"/>
      <c r="E30" s="47"/>
      <c r="F30" s="47"/>
      <c r="G30" s="47"/>
      <c r="H30" s="47"/>
      <c r="I30" s="47"/>
    </row>
    <row r="31" spans="1:11" ht="12.75" customHeight="1">
      <c r="A31" s="47" t="s">
        <v>30</v>
      </c>
      <c r="B31" s="47"/>
      <c r="C31" s="47"/>
      <c r="D31" s="47"/>
      <c r="E31" s="47"/>
      <c r="F31" s="47"/>
      <c r="G31" s="47"/>
      <c r="H31" s="47"/>
      <c r="I31" s="47"/>
    </row>
    <row r="32" spans="1:11" ht="24.75" customHeight="1">
      <c r="A32" s="48" t="s">
        <v>31</v>
      </c>
      <c r="B32" s="48"/>
      <c r="C32" s="48"/>
      <c r="D32" s="48"/>
      <c r="E32" s="48"/>
      <c r="F32" s="48"/>
      <c r="G32" s="48"/>
      <c r="H32" s="48"/>
      <c r="I32" s="48"/>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51" t="s">
        <v>0</v>
      </c>
      <c r="B1" s="51"/>
      <c r="C1" s="51"/>
      <c r="D1" s="51"/>
      <c r="E1" s="51"/>
      <c r="F1" s="51"/>
      <c r="G1" s="51"/>
      <c r="H1" s="51"/>
      <c r="I1" s="51"/>
    </row>
    <row r="2" spans="1:9" ht="25.5">
      <c r="A2" s="52" t="s">
        <v>164</v>
      </c>
      <c r="B2" s="2" t="s">
        <v>2</v>
      </c>
      <c r="C2" s="2" t="s">
        <v>3</v>
      </c>
      <c r="D2" s="2" t="s">
        <v>4</v>
      </c>
      <c r="E2" s="3" t="s">
        <v>5</v>
      </c>
      <c r="F2" s="3" t="s">
        <v>6</v>
      </c>
      <c r="G2" s="2" t="s">
        <v>7</v>
      </c>
      <c r="H2" s="4" t="s">
        <v>8</v>
      </c>
      <c r="I2" s="5" t="s">
        <v>9</v>
      </c>
    </row>
    <row r="3" spans="1:9" ht="12.75" customHeight="1">
      <c r="A3" s="52"/>
      <c r="B3" s="57" t="s">
        <v>155</v>
      </c>
      <c r="C3" s="54" t="s">
        <v>41</v>
      </c>
      <c r="D3" s="55">
        <v>10</v>
      </c>
      <c r="E3" s="56">
        <f>IF(C20&lt;=25%,D20,MIN(E20:F20))</f>
        <v>757.25</v>
      </c>
      <c r="F3" s="56">
        <f>MIN(H3:H17)</f>
        <v>697.5</v>
      </c>
      <c r="G3" s="6" t="s">
        <v>156</v>
      </c>
      <c r="H3" s="7">
        <v>697.5</v>
      </c>
      <c r="I3" s="8">
        <f t="shared" ref="I3:I17" si="0">IF(H3="","",(IF($C$20&lt;25%,"N/A",IF(H3&lt;=($D$20+$A$20),H3,"Descartado"))))</f>
        <v>697.5</v>
      </c>
    </row>
    <row r="4" spans="1:9">
      <c r="A4" s="52"/>
      <c r="B4" s="57"/>
      <c r="C4" s="54"/>
      <c r="D4" s="55"/>
      <c r="E4" s="56"/>
      <c r="F4" s="56"/>
      <c r="G4" s="6" t="s">
        <v>157</v>
      </c>
      <c r="H4" s="7">
        <v>817</v>
      </c>
      <c r="I4" s="8">
        <f t="shared" si="0"/>
        <v>817</v>
      </c>
    </row>
    <row r="5" spans="1:9">
      <c r="A5" s="52"/>
      <c r="B5" s="57"/>
      <c r="C5" s="54"/>
      <c r="D5" s="55"/>
      <c r="E5" s="56"/>
      <c r="F5" s="56"/>
      <c r="G5" s="6" t="s">
        <v>158</v>
      </c>
      <c r="H5" s="7">
        <v>1125</v>
      </c>
      <c r="I5" s="8" t="str">
        <f t="shared" si="0"/>
        <v>Descartado</v>
      </c>
    </row>
    <row r="6" spans="1:9">
      <c r="A6" s="52"/>
      <c r="B6" s="57"/>
      <c r="C6" s="54"/>
      <c r="D6" s="55"/>
      <c r="E6" s="56"/>
      <c r="F6" s="56"/>
      <c r="G6" s="6"/>
      <c r="H6" s="7"/>
      <c r="I6" s="8" t="str">
        <f t="shared" si="0"/>
        <v/>
      </c>
    </row>
    <row r="7" spans="1:9">
      <c r="A7" s="52"/>
      <c r="B7" s="57"/>
      <c r="C7" s="54"/>
      <c r="D7" s="55"/>
      <c r="E7" s="56"/>
      <c r="F7" s="56"/>
      <c r="G7" s="6"/>
      <c r="H7" s="7"/>
      <c r="I7" s="8" t="str">
        <f t="shared" si="0"/>
        <v/>
      </c>
    </row>
    <row r="8" spans="1:9">
      <c r="A8" s="52"/>
      <c r="B8" s="57"/>
      <c r="C8" s="54"/>
      <c r="D8" s="55"/>
      <c r="E8" s="56"/>
      <c r="F8" s="56"/>
      <c r="G8" s="6"/>
      <c r="H8" s="7"/>
      <c r="I8" s="8" t="str">
        <f t="shared" si="0"/>
        <v/>
      </c>
    </row>
    <row r="9" spans="1:9">
      <c r="A9" s="52"/>
      <c r="B9" s="57"/>
      <c r="C9" s="54"/>
      <c r="D9" s="55"/>
      <c r="E9" s="56"/>
      <c r="F9" s="56"/>
      <c r="G9" s="6"/>
      <c r="H9" s="7"/>
      <c r="I9" s="8" t="str">
        <f t="shared" si="0"/>
        <v/>
      </c>
    </row>
    <row r="10" spans="1:9">
      <c r="A10" s="52"/>
      <c r="B10" s="57"/>
      <c r="C10" s="54"/>
      <c r="D10" s="55"/>
      <c r="E10" s="56"/>
      <c r="F10" s="56"/>
      <c r="G10" s="6"/>
      <c r="H10" s="7"/>
      <c r="I10" s="8" t="str">
        <f t="shared" si="0"/>
        <v/>
      </c>
    </row>
    <row r="11" spans="1:9">
      <c r="A11" s="52"/>
      <c r="B11" s="57"/>
      <c r="C11" s="54"/>
      <c r="D11" s="55"/>
      <c r="E11" s="56"/>
      <c r="F11" s="56"/>
      <c r="G11" s="6"/>
      <c r="H11" s="7"/>
      <c r="I11" s="8" t="str">
        <f t="shared" si="0"/>
        <v/>
      </c>
    </row>
    <row r="12" spans="1:9">
      <c r="A12" s="52"/>
      <c r="B12" s="57"/>
      <c r="C12" s="54"/>
      <c r="D12" s="55"/>
      <c r="E12" s="56"/>
      <c r="F12" s="56"/>
      <c r="G12" s="6"/>
      <c r="H12" s="7"/>
      <c r="I12" s="8" t="str">
        <f t="shared" si="0"/>
        <v/>
      </c>
    </row>
    <row r="13" spans="1:9">
      <c r="A13" s="52"/>
      <c r="B13" s="57"/>
      <c r="C13" s="54"/>
      <c r="D13" s="55"/>
      <c r="E13" s="56"/>
      <c r="F13" s="56"/>
      <c r="G13" s="6"/>
      <c r="H13" s="7"/>
      <c r="I13" s="8" t="str">
        <f t="shared" si="0"/>
        <v/>
      </c>
    </row>
    <row r="14" spans="1:9">
      <c r="A14" s="52"/>
      <c r="B14" s="57"/>
      <c r="C14" s="54"/>
      <c r="D14" s="55"/>
      <c r="E14" s="56"/>
      <c r="F14" s="56"/>
      <c r="G14" s="6"/>
      <c r="H14" s="7"/>
      <c r="I14" s="8" t="str">
        <f t="shared" si="0"/>
        <v/>
      </c>
    </row>
    <row r="15" spans="1:9">
      <c r="A15" s="52"/>
      <c r="B15" s="57"/>
      <c r="C15" s="54"/>
      <c r="D15" s="55"/>
      <c r="E15" s="56"/>
      <c r="F15" s="56"/>
      <c r="G15" s="6"/>
      <c r="H15" s="7"/>
      <c r="I15" s="8" t="str">
        <f t="shared" si="0"/>
        <v/>
      </c>
    </row>
    <row r="16" spans="1:9">
      <c r="A16" s="52"/>
      <c r="B16" s="57"/>
      <c r="C16" s="54"/>
      <c r="D16" s="55"/>
      <c r="E16" s="56"/>
      <c r="F16" s="56"/>
      <c r="G16" s="6"/>
      <c r="H16" s="7"/>
      <c r="I16" s="8" t="str">
        <f t="shared" si="0"/>
        <v/>
      </c>
    </row>
    <row r="17" spans="1:11">
      <c r="A17" s="52"/>
      <c r="B17" s="57"/>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16</v>
      </c>
      <c r="B19" s="5" t="s">
        <v>17</v>
      </c>
      <c r="C19" s="4" t="s">
        <v>18</v>
      </c>
      <c r="D19" s="16" t="s">
        <v>19</v>
      </c>
      <c r="E19" s="17" t="s">
        <v>20</v>
      </c>
      <c r="F19" s="16" t="s">
        <v>21</v>
      </c>
      <c r="G19" s="49" t="s">
        <v>22</v>
      </c>
      <c r="H19" s="49"/>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50"/>
      <c r="E22" s="50"/>
      <c r="F22" s="30"/>
      <c r="G22" s="31" t="s">
        <v>23</v>
      </c>
      <c r="H22" s="32">
        <f>IF(C20&lt;=25%,D20,MIN(E20:F20))</f>
        <v>757.25</v>
      </c>
    </row>
    <row r="23" spans="1:11">
      <c r="B23" s="25"/>
      <c r="C23" s="25"/>
      <c r="D23" s="50"/>
      <c r="E23" s="50"/>
      <c r="F23" s="33"/>
      <c r="G23" s="4" t="s">
        <v>24</v>
      </c>
      <c r="H23" s="24">
        <f>ROUND(H22,2)*D3</f>
        <v>7572.5</v>
      </c>
    </row>
    <row r="24" spans="1:11">
      <c r="B24" s="29"/>
      <c r="C24" s="29"/>
      <c r="D24" s="18"/>
      <c r="E24" s="18"/>
    </row>
    <row r="26" spans="1:11" ht="12.75" customHeight="1">
      <c r="A26" s="47" t="s">
        <v>25</v>
      </c>
      <c r="B26" s="47"/>
      <c r="C26" s="47"/>
      <c r="D26" s="47"/>
      <c r="E26" s="47"/>
      <c r="F26" s="47"/>
      <c r="G26" s="47"/>
      <c r="H26" s="47"/>
      <c r="I26" s="47"/>
    </row>
    <row r="27" spans="1:11" ht="12.75" customHeight="1">
      <c r="A27" s="47" t="s">
        <v>26</v>
      </c>
      <c r="B27" s="47"/>
      <c r="C27" s="47"/>
      <c r="D27" s="47"/>
      <c r="E27" s="47"/>
      <c r="F27" s="47"/>
      <c r="G27" s="47"/>
      <c r="H27" s="47"/>
      <c r="I27" s="47"/>
    </row>
    <row r="28" spans="1:11" ht="12.75" customHeight="1">
      <c r="A28" s="47" t="s">
        <v>27</v>
      </c>
      <c r="B28" s="47"/>
      <c r="C28" s="47"/>
      <c r="D28" s="47"/>
      <c r="E28" s="47"/>
      <c r="F28" s="47"/>
      <c r="G28" s="47"/>
      <c r="H28" s="47"/>
      <c r="I28" s="47"/>
    </row>
    <row r="29" spans="1:11" ht="12.75" customHeight="1">
      <c r="A29" s="47" t="s">
        <v>28</v>
      </c>
      <c r="B29" s="47"/>
      <c r="C29" s="47"/>
      <c r="D29" s="47"/>
      <c r="E29" s="47"/>
      <c r="F29" s="47"/>
      <c r="G29" s="47"/>
      <c r="H29" s="47"/>
      <c r="I29" s="47"/>
    </row>
    <row r="30" spans="1:11" ht="12.75" customHeight="1">
      <c r="A30" s="47" t="s">
        <v>29</v>
      </c>
      <c r="B30" s="47"/>
      <c r="C30" s="47"/>
      <c r="D30" s="47"/>
      <c r="E30" s="47"/>
      <c r="F30" s="47"/>
      <c r="G30" s="47"/>
      <c r="H30" s="47"/>
      <c r="I30" s="47"/>
    </row>
    <row r="31" spans="1:11" ht="12.75" customHeight="1">
      <c r="A31" s="47" t="s">
        <v>30</v>
      </c>
      <c r="B31" s="47"/>
      <c r="C31" s="47"/>
      <c r="D31" s="47"/>
      <c r="E31" s="47"/>
      <c r="F31" s="47"/>
      <c r="G31" s="47"/>
      <c r="H31" s="47"/>
      <c r="I31" s="47"/>
    </row>
    <row r="32" spans="1:11" ht="24.75" customHeight="1">
      <c r="A32" s="48" t="s">
        <v>31</v>
      </c>
      <c r="B32" s="48"/>
      <c r="C32" s="48"/>
      <c r="D32" s="48"/>
      <c r="E32" s="48"/>
      <c r="F32" s="48"/>
      <c r="G32" s="48"/>
      <c r="H32" s="48"/>
      <c r="I32" s="48"/>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51" t="s">
        <v>0</v>
      </c>
      <c r="B1" s="51"/>
      <c r="C1" s="51"/>
      <c r="D1" s="51"/>
      <c r="E1" s="51"/>
      <c r="F1" s="51"/>
      <c r="G1" s="51"/>
      <c r="H1" s="51"/>
      <c r="I1" s="51"/>
    </row>
    <row r="2" spans="1:9" ht="25.5">
      <c r="A2" s="52" t="s">
        <v>165</v>
      </c>
      <c r="B2" s="2" t="s">
        <v>2</v>
      </c>
      <c r="C2" s="2" t="s">
        <v>3</v>
      </c>
      <c r="D2" s="2" t="s">
        <v>4</v>
      </c>
      <c r="E2" s="3" t="s">
        <v>5</v>
      </c>
      <c r="F2" s="3" t="s">
        <v>6</v>
      </c>
      <c r="G2" s="2" t="s">
        <v>7</v>
      </c>
      <c r="H2" s="4" t="s">
        <v>8</v>
      </c>
      <c r="I2" s="5" t="s">
        <v>9</v>
      </c>
    </row>
    <row r="3" spans="1:9" ht="12.75" customHeight="1">
      <c r="A3" s="52"/>
      <c r="B3" s="57" t="s">
        <v>155</v>
      </c>
      <c r="C3" s="54" t="s">
        <v>41</v>
      </c>
      <c r="D3" s="55">
        <v>10</v>
      </c>
      <c r="E3" s="56">
        <f>IF(C20&lt;=25%,D20,MIN(E20:F20))</f>
        <v>757.25</v>
      </c>
      <c r="F3" s="56">
        <f>MIN(H3:H17)</f>
        <v>697.5</v>
      </c>
      <c r="G3" s="6" t="s">
        <v>156</v>
      </c>
      <c r="H3" s="7">
        <v>697.5</v>
      </c>
      <c r="I3" s="8">
        <f t="shared" ref="I3:I17" si="0">IF(H3="","",(IF($C$20&lt;25%,"N/A",IF(H3&lt;=($D$20+$A$20),H3,"Descartado"))))</f>
        <v>697.5</v>
      </c>
    </row>
    <row r="4" spans="1:9">
      <c r="A4" s="52"/>
      <c r="B4" s="57"/>
      <c r="C4" s="54"/>
      <c r="D4" s="55"/>
      <c r="E4" s="56"/>
      <c r="F4" s="56"/>
      <c r="G4" s="6" t="s">
        <v>157</v>
      </c>
      <c r="H4" s="7">
        <v>817</v>
      </c>
      <c r="I4" s="8">
        <f t="shared" si="0"/>
        <v>817</v>
      </c>
    </row>
    <row r="5" spans="1:9">
      <c r="A5" s="52"/>
      <c r="B5" s="57"/>
      <c r="C5" s="54"/>
      <c r="D5" s="55"/>
      <c r="E5" s="56"/>
      <c r="F5" s="56"/>
      <c r="G5" s="6" t="s">
        <v>158</v>
      </c>
      <c r="H5" s="7">
        <v>1125</v>
      </c>
      <c r="I5" s="8" t="str">
        <f t="shared" si="0"/>
        <v>Descartado</v>
      </c>
    </row>
    <row r="6" spans="1:9">
      <c r="A6" s="52"/>
      <c r="B6" s="57"/>
      <c r="C6" s="54"/>
      <c r="D6" s="55"/>
      <c r="E6" s="56"/>
      <c r="F6" s="56"/>
      <c r="G6" s="6"/>
      <c r="H6" s="7"/>
      <c r="I6" s="8" t="str">
        <f t="shared" si="0"/>
        <v/>
      </c>
    </row>
    <row r="7" spans="1:9">
      <c r="A7" s="52"/>
      <c r="B7" s="57"/>
      <c r="C7" s="54"/>
      <c r="D7" s="55"/>
      <c r="E7" s="56"/>
      <c r="F7" s="56"/>
      <c r="G7" s="6"/>
      <c r="H7" s="7"/>
      <c r="I7" s="8" t="str">
        <f t="shared" si="0"/>
        <v/>
      </c>
    </row>
    <row r="8" spans="1:9">
      <c r="A8" s="52"/>
      <c r="B8" s="57"/>
      <c r="C8" s="54"/>
      <c r="D8" s="55"/>
      <c r="E8" s="56"/>
      <c r="F8" s="56"/>
      <c r="G8" s="6"/>
      <c r="H8" s="7"/>
      <c r="I8" s="8" t="str">
        <f t="shared" si="0"/>
        <v/>
      </c>
    </row>
    <row r="9" spans="1:9">
      <c r="A9" s="52"/>
      <c r="B9" s="57"/>
      <c r="C9" s="54"/>
      <c r="D9" s="55"/>
      <c r="E9" s="56"/>
      <c r="F9" s="56"/>
      <c r="G9" s="6"/>
      <c r="H9" s="7"/>
      <c r="I9" s="8" t="str">
        <f t="shared" si="0"/>
        <v/>
      </c>
    </row>
    <row r="10" spans="1:9">
      <c r="A10" s="52"/>
      <c r="B10" s="57"/>
      <c r="C10" s="54"/>
      <c r="D10" s="55"/>
      <c r="E10" s="56"/>
      <c r="F10" s="56"/>
      <c r="G10" s="6"/>
      <c r="H10" s="7"/>
      <c r="I10" s="8" t="str">
        <f t="shared" si="0"/>
        <v/>
      </c>
    </row>
    <row r="11" spans="1:9">
      <c r="A11" s="52"/>
      <c r="B11" s="57"/>
      <c r="C11" s="54"/>
      <c r="D11" s="55"/>
      <c r="E11" s="56"/>
      <c r="F11" s="56"/>
      <c r="G11" s="6"/>
      <c r="H11" s="7"/>
      <c r="I11" s="8" t="str">
        <f t="shared" si="0"/>
        <v/>
      </c>
    </row>
    <row r="12" spans="1:9">
      <c r="A12" s="52"/>
      <c r="B12" s="57"/>
      <c r="C12" s="54"/>
      <c r="D12" s="55"/>
      <c r="E12" s="56"/>
      <c r="F12" s="56"/>
      <c r="G12" s="6"/>
      <c r="H12" s="7"/>
      <c r="I12" s="8" t="str">
        <f t="shared" si="0"/>
        <v/>
      </c>
    </row>
    <row r="13" spans="1:9">
      <c r="A13" s="52"/>
      <c r="B13" s="57"/>
      <c r="C13" s="54"/>
      <c r="D13" s="55"/>
      <c r="E13" s="56"/>
      <c r="F13" s="56"/>
      <c r="G13" s="6"/>
      <c r="H13" s="7"/>
      <c r="I13" s="8" t="str">
        <f t="shared" si="0"/>
        <v/>
      </c>
    </row>
    <row r="14" spans="1:9">
      <c r="A14" s="52"/>
      <c r="B14" s="57"/>
      <c r="C14" s="54"/>
      <c r="D14" s="55"/>
      <c r="E14" s="56"/>
      <c r="F14" s="56"/>
      <c r="G14" s="6"/>
      <c r="H14" s="7"/>
      <c r="I14" s="8" t="str">
        <f t="shared" si="0"/>
        <v/>
      </c>
    </row>
    <row r="15" spans="1:9">
      <c r="A15" s="52"/>
      <c r="B15" s="57"/>
      <c r="C15" s="54"/>
      <c r="D15" s="55"/>
      <c r="E15" s="56"/>
      <c r="F15" s="56"/>
      <c r="G15" s="6"/>
      <c r="H15" s="7"/>
      <c r="I15" s="8" t="str">
        <f t="shared" si="0"/>
        <v/>
      </c>
    </row>
    <row r="16" spans="1:9">
      <c r="A16" s="52"/>
      <c r="B16" s="57"/>
      <c r="C16" s="54"/>
      <c r="D16" s="55"/>
      <c r="E16" s="56"/>
      <c r="F16" s="56"/>
      <c r="G16" s="6"/>
      <c r="H16" s="7"/>
      <c r="I16" s="8" t="str">
        <f t="shared" si="0"/>
        <v/>
      </c>
    </row>
    <row r="17" spans="1:11">
      <c r="A17" s="52"/>
      <c r="B17" s="57"/>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16</v>
      </c>
      <c r="B19" s="5" t="s">
        <v>17</v>
      </c>
      <c r="C19" s="4" t="s">
        <v>18</v>
      </c>
      <c r="D19" s="16" t="s">
        <v>19</v>
      </c>
      <c r="E19" s="17" t="s">
        <v>20</v>
      </c>
      <c r="F19" s="16" t="s">
        <v>21</v>
      </c>
      <c r="G19" s="49" t="s">
        <v>22</v>
      </c>
      <c r="H19" s="49"/>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50"/>
      <c r="E22" s="50"/>
      <c r="F22" s="30"/>
      <c r="G22" s="31" t="s">
        <v>23</v>
      </c>
      <c r="H22" s="32">
        <f>IF(C20&lt;=25%,D20,MIN(E20:F20))</f>
        <v>757.25</v>
      </c>
    </row>
    <row r="23" spans="1:11">
      <c r="B23" s="25"/>
      <c r="C23" s="25"/>
      <c r="D23" s="50"/>
      <c r="E23" s="50"/>
      <c r="F23" s="33"/>
      <c r="G23" s="4" t="s">
        <v>24</v>
      </c>
      <c r="H23" s="24">
        <f>ROUND(H22,2)*D3</f>
        <v>7572.5</v>
      </c>
    </row>
    <row r="24" spans="1:11">
      <c r="B24" s="29"/>
      <c r="C24" s="29"/>
      <c r="D24" s="18"/>
      <c r="E24" s="18"/>
    </row>
    <row r="26" spans="1:11" ht="12.75" customHeight="1">
      <c r="A26" s="47" t="s">
        <v>25</v>
      </c>
      <c r="B26" s="47"/>
      <c r="C26" s="47"/>
      <c r="D26" s="47"/>
      <c r="E26" s="47"/>
      <c r="F26" s="47"/>
      <c r="G26" s="47"/>
      <c r="H26" s="47"/>
      <c r="I26" s="47"/>
    </row>
    <row r="27" spans="1:11" ht="12.75" customHeight="1">
      <c r="A27" s="47" t="s">
        <v>26</v>
      </c>
      <c r="B27" s="47"/>
      <c r="C27" s="47"/>
      <c r="D27" s="47"/>
      <c r="E27" s="47"/>
      <c r="F27" s="47"/>
      <c r="G27" s="47"/>
      <c r="H27" s="47"/>
      <c r="I27" s="47"/>
    </row>
    <row r="28" spans="1:11" ht="12.75" customHeight="1">
      <c r="A28" s="47" t="s">
        <v>27</v>
      </c>
      <c r="B28" s="47"/>
      <c r="C28" s="47"/>
      <c r="D28" s="47"/>
      <c r="E28" s="47"/>
      <c r="F28" s="47"/>
      <c r="G28" s="47"/>
      <c r="H28" s="47"/>
      <c r="I28" s="47"/>
    </row>
    <row r="29" spans="1:11" ht="12.75" customHeight="1">
      <c r="A29" s="47" t="s">
        <v>28</v>
      </c>
      <c r="B29" s="47"/>
      <c r="C29" s="47"/>
      <c r="D29" s="47"/>
      <c r="E29" s="47"/>
      <c r="F29" s="47"/>
      <c r="G29" s="47"/>
      <c r="H29" s="47"/>
      <c r="I29" s="47"/>
    </row>
    <row r="30" spans="1:11" ht="12.75" customHeight="1">
      <c r="A30" s="47" t="s">
        <v>29</v>
      </c>
      <c r="B30" s="47"/>
      <c r="C30" s="47"/>
      <c r="D30" s="47"/>
      <c r="E30" s="47"/>
      <c r="F30" s="47"/>
      <c r="G30" s="47"/>
      <c r="H30" s="47"/>
      <c r="I30" s="47"/>
    </row>
    <row r="31" spans="1:11" ht="12.75" customHeight="1">
      <c r="A31" s="47" t="s">
        <v>30</v>
      </c>
      <c r="B31" s="47"/>
      <c r="C31" s="47"/>
      <c r="D31" s="47"/>
      <c r="E31" s="47"/>
      <c r="F31" s="47"/>
      <c r="G31" s="47"/>
      <c r="H31" s="47"/>
      <c r="I31" s="47"/>
    </row>
    <row r="32" spans="1:11" ht="24.75" customHeight="1">
      <c r="A32" s="48" t="s">
        <v>31</v>
      </c>
      <c r="B32" s="48"/>
      <c r="C32" s="48"/>
      <c r="D32" s="48"/>
      <c r="E32" s="48"/>
      <c r="F32" s="48"/>
      <c r="G32" s="48"/>
      <c r="H32" s="48"/>
      <c r="I32" s="48"/>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51" t="s">
        <v>0</v>
      </c>
      <c r="B1" s="51"/>
      <c r="C1" s="51"/>
      <c r="D1" s="51"/>
      <c r="E1" s="51"/>
      <c r="F1" s="51"/>
      <c r="G1" s="51"/>
      <c r="H1" s="51"/>
      <c r="I1" s="51"/>
    </row>
    <row r="2" spans="1:9" ht="25.5">
      <c r="A2" s="52" t="s">
        <v>166</v>
      </c>
      <c r="B2" s="2" t="s">
        <v>2</v>
      </c>
      <c r="C2" s="2" t="s">
        <v>3</v>
      </c>
      <c r="D2" s="2" t="s">
        <v>4</v>
      </c>
      <c r="E2" s="3" t="s">
        <v>5</v>
      </c>
      <c r="F2" s="3" t="s">
        <v>6</v>
      </c>
      <c r="G2" s="2" t="s">
        <v>7</v>
      </c>
      <c r="H2" s="4" t="s">
        <v>8</v>
      </c>
      <c r="I2" s="5" t="s">
        <v>9</v>
      </c>
    </row>
    <row r="3" spans="1:9" ht="12.75" customHeight="1">
      <c r="A3" s="52"/>
      <c r="B3" s="57" t="s">
        <v>155</v>
      </c>
      <c r="C3" s="54" t="s">
        <v>41</v>
      </c>
      <c r="D3" s="55">
        <v>10</v>
      </c>
      <c r="E3" s="56">
        <f>IF(C20&lt;=25%,D20,MIN(E20:F20))</f>
        <v>757.25</v>
      </c>
      <c r="F3" s="56">
        <f>MIN(H3:H17)</f>
        <v>697.5</v>
      </c>
      <c r="G3" s="6" t="s">
        <v>156</v>
      </c>
      <c r="H3" s="7">
        <v>697.5</v>
      </c>
      <c r="I3" s="8">
        <f t="shared" ref="I3:I17" si="0">IF(H3="","",(IF($C$20&lt;25%,"N/A",IF(H3&lt;=($D$20+$A$20),H3,"Descartado"))))</f>
        <v>697.5</v>
      </c>
    </row>
    <row r="4" spans="1:9">
      <c r="A4" s="52"/>
      <c r="B4" s="57"/>
      <c r="C4" s="54"/>
      <c r="D4" s="55"/>
      <c r="E4" s="56"/>
      <c r="F4" s="56"/>
      <c r="G4" s="6" t="s">
        <v>157</v>
      </c>
      <c r="H4" s="7">
        <v>817</v>
      </c>
      <c r="I4" s="8">
        <f t="shared" si="0"/>
        <v>817</v>
      </c>
    </row>
    <row r="5" spans="1:9">
      <c r="A5" s="52"/>
      <c r="B5" s="57"/>
      <c r="C5" s="54"/>
      <c r="D5" s="55"/>
      <c r="E5" s="56"/>
      <c r="F5" s="56"/>
      <c r="G5" s="6" t="s">
        <v>158</v>
      </c>
      <c r="H5" s="7">
        <v>1125</v>
      </c>
      <c r="I5" s="8" t="str">
        <f t="shared" si="0"/>
        <v>Descartado</v>
      </c>
    </row>
    <row r="6" spans="1:9">
      <c r="A6" s="52"/>
      <c r="B6" s="57"/>
      <c r="C6" s="54"/>
      <c r="D6" s="55"/>
      <c r="E6" s="56"/>
      <c r="F6" s="56"/>
      <c r="G6" s="6"/>
      <c r="H6" s="7"/>
      <c r="I6" s="8" t="str">
        <f t="shared" si="0"/>
        <v/>
      </c>
    </row>
    <row r="7" spans="1:9">
      <c r="A7" s="52"/>
      <c r="B7" s="57"/>
      <c r="C7" s="54"/>
      <c r="D7" s="55"/>
      <c r="E7" s="56"/>
      <c r="F7" s="56"/>
      <c r="G7" s="6"/>
      <c r="H7" s="7"/>
      <c r="I7" s="8" t="str">
        <f t="shared" si="0"/>
        <v/>
      </c>
    </row>
    <row r="8" spans="1:9">
      <c r="A8" s="52"/>
      <c r="B8" s="57"/>
      <c r="C8" s="54"/>
      <c r="D8" s="55"/>
      <c r="E8" s="56"/>
      <c r="F8" s="56"/>
      <c r="G8" s="6"/>
      <c r="H8" s="7"/>
      <c r="I8" s="8" t="str">
        <f t="shared" si="0"/>
        <v/>
      </c>
    </row>
    <row r="9" spans="1:9">
      <c r="A9" s="52"/>
      <c r="B9" s="57"/>
      <c r="C9" s="54"/>
      <c r="D9" s="55"/>
      <c r="E9" s="56"/>
      <c r="F9" s="56"/>
      <c r="G9" s="6"/>
      <c r="H9" s="7"/>
      <c r="I9" s="8" t="str">
        <f t="shared" si="0"/>
        <v/>
      </c>
    </row>
    <row r="10" spans="1:9">
      <c r="A10" s="52"/>
      <c r="B10" s="57"/>
      <c r="C10" s="54"/>
      <c r="D10" s="55"/>
      <c r="E10" s="56"/>
      <c r="F10" s="56"/>
      <c r="G10" s="6"/>
      <c r="H10" s="7"/>
      <c r="I10" s="8" t="str">
        <f t="shared" si="0"/>
        <v/>
      </c>
    </row>
    <row r="11" spans="1:9">
      <c r="A11" s="52"/>
      <c r="B11" s="57"/>
      <c r="C11" s="54"/>
      <c r="D11" s="55"/>
      <c r="E11" s="56"/>
      <c r="F11" s="56"/>
      <c r="G11" s="6"/>
      <c r="H11" s="7"/>
      <c r="I11" s="8" t="str">
        <f t="shared" si="0"/>
        <v/>
      </c>
    </row>
    <row r="12" spans="1:9">
      <c r="A12" s="52"/>
      <c r="B12" s="57"/>
      <c r="C12" s="54"/>
      <c r="D12" s="55"/>
      <c r="E12" s="56"/>
      <c r="F12" s="56"/>
      <c r="G12" s="6"/>
      <c r="H12" s="7"/>
      <c r="I12" s="8" t="str">
        <f t="shared" si="0"/>
        <v/>
      </c>
    </row>
    <row r="13" spans="1:9">
      <c r="A13" s="52"/>
      <c r="B13" s="57"/>
      <c r="C13" s="54"/>
      <c r="D13" s="55"/>
      <c r="E13" s="56"/>
      <c r="F13" s="56"/>
      <c r="G13" s="6"/>
      <c r="H13" s="7"/>
      <c r="I13" s="8" t="str">
        <f t="shared" si="0"/>
        <v/>
      </c>
    </row>
    <row r="14" spans="1:9">
      <c r="A14" s="52"/>
      <c r="B14" s="57"/>
      <c r="C14" s="54"/>
      <c r="D14" s="55"/>
      <c r="E14" s="56"/>
      <c r="F14" s="56"/>
      <c r="G14" s="6"/>
      <c r="H14" s="7"/>
      <c r="I14" s="8" t="str">
        <f t="shared" si="0"/>
        <v/>
      </c>
    </row>
    <row r="15" spans="1:9">
      <c r="A15" s="52"/>
      <c r="B15" s="57"/>
      <c r="C15" s="54"/>
      <c r="D15" s="55"/>
      <c r="E15" s="56"/>
      <c r="F15" s="56"/>
      <c r="G15" s="6"/>
      <c r="H15" s="7"/>
      <c r="I15" s="8" t="str">
        <f t="shared" si="0"/>
        <v/>
      </c>
    </row>
    <row r="16" spans="1:9">
      <c r="A16" s="52"/>
      <c r="B16" s="57"/>
      <c r="C16" s="54"/>
      <c r="D16" s="55"/>
      <c r="E16" s="56"/>
      <c r="F16" s="56"/>
      <c r="G16" s="6"/>
      <c r="H16" s="7"/>
      <c r="I16" s="8" t="str">
        <f t="shared" si="0"/>
        <v/>
      </c>
    </row>
    <row r="17" spans="1:11">
      <c r="A17" s="52"/>
      <c r="B17" s="57"/>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16</v>
      </c>
      <c r="B19" s="5" t="s">
        <v>17</v>
      </c>
      <c r="C19" s="4" t="s">
        <v>18</v>
      </c>
      <c r="D19" s="16" t="s">
        <v>19</v>
      </c>
      <c r="E19" s="17" t="s">
        <v>20</v>
      </c>
      <c r="F19" s="16" t="s">
        <v>21</v>
      </c>
      <c r="G19" s="49" t="s">
        <v>22</v>
      </c>
      <c r="H19" s="49"/>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50"/>
      <c r="E22" s="50"/>
      <c r="F22" s="30"/>
      <c r="G22" s="31" t="s">
        <v>23</v>
      </c>
      <c r="H22" s="32">
        <f>IF(C20&lt;=25%,D20,MIN(E20:F20))</f>
        <v>757.25</v>
      </c>
    </row>
    <row r="23" spans="1:11">
      <c r="B23" s="25"/>
      <c r="C23" s="25"/>
      <c r="D23" s="50"/>
      <c r="E23" s="50"/>
      <c r="F23" s="33"/>
      <c r="G23" s="4" t="s">
        <v>24</v>
      </c>
      <c r="H23" s="24">
        <f>ROUND(H22,2)*D3</f>
        <v>7572.5</v>
      </c>
    </row>
    <row r="24" spans="1:11">
      <c r="B24" s="29"/>
      <c r="C24" s="29"/>
      <c r="D24" s="18"/>
      <c r="E24" s="18"/>
    </row>
    <row r="26" spans="1:11" ht="12.75" customHeight="1">
      <c r="A26" s="47" t="s">
        <v>25</v>
      </c>
      <c r="B26" s="47"/>
      <c r="C26" s="47"/>
      <c r="D26" s="47"/>
      <c r="E26" s="47"/>
      <c r="F26" s="47"/>
      <c r="G26" s="47"/>
      <c r="H26" s="47"/>
      <c r="I26" s="47"/>
    </row>
    <row r="27" spans="1:11" ht="12.75" customHeight="1">
      <c r="A27" s="47" t="s">
        <v>26</v>
      </c>
      <c r="B27" s="47"/>
      <c r="C27" s="47"/>
      <c r="D27" s="47"/>
      <c r="E27" s="47"/>
      <c r="F27" s="47"/>
      <c r="G27" s="47"/>
      <c r="H27" s="47"/>
      <c r="I27" s="47"/>
    </row>
    <row r="28" spans="1:11" ht="12.75" customHeight="1">
      <c r="A28" s="47" t="s">
        <v>27</v>
      </c>
      <c r="B28" s="47"/>
      <c r="C28" s="47"/>
      <c r="D28" s="47"/>
      <c r="E28" s="47"/>
      <c r="F28" s="47"/>
      <c r="G28" s="47"/>
      <c r="H28" s="47"/>
      <c r="I28" s="47"/>
    </row>
    <row r="29" spans="1:11" ht="12.75" customHeight="1">
      <c r="A29" s="47" t="s">
        <v>28</v>
      </c>
      <c r="B29" s="47"/>
      <c r="C29" s="47"/>
      <c r="D29" s="47"/>
      <c r="E29" s="47"/>
      <c r="F29" s="47"/>
      <c r="G29" s="47"/>
      <c r="H29" s="47"/>
      <c r="I29" s="47"/>
    </row>
    <row r="30" spans="1:11" ht="12.75" customHeight="1">
      <c r="A30" s="47" t="s">
        <v>29</v>
      </c>
      <c r="B30" s="47"/>
      <c r="C30" s="47"/>
      <c r="D30" s="47"/>
      <c r="E30" s="47"/>
      <c r="F30" s="47"/>
      <c r="G30" s="47"/>
      <c r="H30" s="47"/>
      <c r="I30" s="47"/>
    </row>
    <row r="31" spans="1:11" ht="12.75" customHeight="1">
      <c r="A31" s="47" t="s">
        <v>30</v>
      </c>
      <c r="B31" s="47"/>
      <c r="C31" s="47"/>
      <c r="D31" s="47"/>
      <c r="E31" s="47"/>
      <c r="F31" s="47"/>
      <c r="G31" s="47"/>
      <c r="H31" s="47"/>
      <c r="I31" s="47"/>
    </row>
    <row r="32" spans="1:11" ht="24.75" customHeight="1">
      <c r="A32" s="48" t="s">
        <v>31</v>
      </c>
      <c r="B32" s="48"/>
      <c r="C32" s="48"/>
      <c r="D32" s="48"/>
      <c r="E32" s="48"/>
      <c r="F32" s="48"/>
      <c r="G32" s="48"/>
      <c r="H32" s="48"/>
      <c r="I32" s="48"/>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51" t="s">
        <v>0</v>
      </c>
      <c r="B1" s="51"/>
      <c r="C1" s="51"/>
      <c r="D1" s="51"/>
      <c r="E1" s="51"/>
      <c r="F1" s="51"/>
      <c r="G1" s="51"/>
      <c r="H1" s="51"/>
      <c r="I1" s="51"/>
    </row>
    <row r="2" spans="1:9" ht="25.5">
      <c r="A2" s="52" t="s">
        <v>167</v>
      </c>
      <c r="B2" s="2" t="s">
        <v>2</v>
      </c>
      <c r="C2" s="2" t="s">
        <v>3</v>
      </c>
      <c r="D2" s="2" t="s">
        <v>4</v>
      </c>
      <c r="E2" s="3" t="s">
        <v>5</v>
      </c>
      <c r="F2" s="3" t="s">
        <v>6</v>
      </c>
      <c r="G2" s="2" t="s">
        <v>7</v>
      </c>
      <c r="H2" s="4" t="s">
        <v>8</v>
      </c>
      <c r="I2" s="5" t="s">
        <v>9</v>
      </c>
    </row>
    <row r="3" spans="1:9" ht="12.75" customHeight="1">
      <c r="A3" s="52"/>
      <c r="B3" s="57" t="s">
        <v>155</v>
      </c>
      <c r="C3" s="54" t="s">
        <v>41</v>
      </c>
      <c r="D3" s="55">
        <v>10</v>
      </c>
      <c r="E3" s="56">
        <f>IF(C20&lt;=25%,D20,MIN(E20:F20))</f>
        <v>757.25</v>
      </c>
      <c r="F3" s="56">
        <f>MIN(H3:H17)</f>
        <v>697.5</v>
      </c>
      <c r="G3" s="6" t="s">
        <v>156</v>
      </c>
      <c r="H3" s="7">
        <v>697.5</v>
      </c>
      <c r="I3" s="8">
        <f t="shared" ref="I3:I17" si="0">IF(H3="","",(IF($C$20&lt;25%,"N/A",IF(H3&lt;=($D$20+$A$20),H3,"Descartado"))))</f>
        <v>697.5</v>
      </c>
    </row>
    <row r="4" spans="1:9">
      <c r="A4" s="52"/>
      <c r="B4" s="57"/>
      <c r="C4" s="54"/>
      <c r="D4" s="55"/>
      <c r="E4" s="56"/>
      <c r="F4" s="56"/>
      <c r="G4" s="6" t="s">
        <v>157</v>
      </c>
      <c r="H4" s="7">
        <v>817</v>
      </c>
      <c r="I4" s="8">
        <f t="shared" si="0"/>
        <v>817</v>
      </c>
    </row>
    <row r="5" spans="1:9">
      <c r="A5" s="52"/>
      <c r="B5" s="57"/>
      <c r="C5" s="54"/>
      <c r="D5" s="55"/>
      <c r="E5" s="56"/>
      <c r="F5" s="56"/>
      <c r="G5" s="6" t="s">
        <v>158</v>
      </c>
      <c r="H5" s="7">
        <v>1125</v>
      </c>
      <c r="I5" s="8" t="str">
        <f t="shared" si="0"/>
        <v>Descartado</v>
      </c>
    </row>
    <row r="6" spans="1:9">
      <c r="A6" s="52"/>
      <c r="B6" s="57"/>
      <c r="C6" s="54"/>
      <c r="D6" s="55"/>
      <c r="E6" s="56"/>
      <c r="F6" s="56"/>
      <c r="G6" s="6"/>
      <c r="H6" s="7"/>
      <c r="I6" s="8" t="str">
        <f t="shared" si="0"/>
        <v/>
      </c>
    </row>
    <row r="7" spans="1:9">
      <c r="A7" s="52"/>
      <c r="B7" s="57"/>
      <c r="C7" s="54"/>
      <c r="D7" s="55"/>
      <c r="E7" s="56"/>
      <c r="F7" s="56"/>
      <c r="G7" s="6"/>
      <c r="H7" s="7"/>
      <c r="I7" s="8" t="str">
        <f t="shared" si="0"/>
        <v/>
      </c>
    </row>
    <row r="8" spans="1:9">
      <c r="A8" s="52"/>
      <c r="B8" s="57"/>
      <c r="C8" s="54"/>
      <c r="D8" s="55"/>
      <c r="E8" s="56"/>
      <c r="F8" s="56"/>
      <c r="G8" s="6"/>
      <c r="H8" s="7"/>
      <c r="I8" s="8" t="str">
        <f t="shared" si="0"/>
        <v/>
      </c>
    </row>
    <row r="9" spans="1:9">
      <c r="A9" s="52"/>
      <c r="B9" s="57"/>
      <c r="C9" s="54"/>
      <c r="D9" s="55"/>
      <c r="E9" s="56"/>
      <c r="F9" s="56"/>
      <c r="G9" s="6"/>
      <c r="H9" s="7"/>
      <c r="I9" s="8" t="str">
        <f t="shared" si="0"/>
        <v/>
      </c>
    </row>
    <row r="10" spans="1:9">
      <c r="A10" s="52"/>
      <c r="B10" s="57"/>
      <c r="C10" s="54"/>
      <c r="D10" s="55"/>
      <c r="E10" s="56"/>
      <c r="F10" s="56"/>
      <c r="G10" s="6"/>
      <c r="H10" s="7"/>
      <c r="I10" s="8" t="str">
        <f t="shared" si="0"/>
        <v/>
      </c>
    </row>
    <row r="11" spans="1:9">
      <c r="A11" s="52"/>
      <c r="B11" s="57"/>
      <c r="C11" s="54"/>
      <c r="D11" s="55"/>
      <c r="E11" s="56"/>
      <c r="F11" s="56"/>
      <c r="G11" s="6"/>
      <c r="H11" s="7"/>
      <c r="I11" s="8" t="str">
        <f t="shared" si="0"/>
        <v/>
      </c>
    </row>
    <row r="12" spans="1:9">
      <c r="A12" s="52"/>
      <c r="B12" s="57"/>
      <c r="C12" s="54"/>
      <c r="D12" s="55"/>
      <c r="E12" s="56"/>
      <c r="F12" s="56"/>
      <c r="G12" s="6"/>
      <c r="H12" s="7"/>
      <c r="I12" s="8" t="str">
        <f t="shared" si="0"/>
        <v/>
      </c>
    </row>
    <row r="13" spans="1:9">
      <c r="A13" s="52"/>
      <c r="B13" s="57"/>
      <c r="C13" s="54"/>
      <c r="D13" s="55"/>
      <c r="E13" s="56"/>
      <c r="F13" s="56"/>
      <c r="G13" s="6"/>
      <c r="H13" s="7"/>
      <c r="I13" s="8" t="str">
        <f t="shared" si="0"/>
        <v/>
      </c>
    </row>
    <row r="14" spans="1:9">
      <c r="A14" s="52"/>
      <c r="B14" s="57"/>
      <c r="C14" s="54"/>
      <c r="D14" s="55"/>
      <c r="E14" s="56"/>
      <c r="F14" s="56"/>
      <c r="G14" s="6"/>
      <c r="H14" s="7"/>
      <c r="I14" s="8" t="str">
        <f t="shared" si="0"/>
        <v/>
      </c>
    </row>
    <row r="15" spans="1:9">
      <c r="A15" s="52"/>
      <c r="B15" s="57"/>
      <c r="C15" s="54"/>
      <c r="D15" s="55"/>
      <c r="E15" s="56"/>
      <c r="F15" s="56"/>
      <c r="G15" s="6"/>
      <c r="H15" s="7"/>
      <c r="I15" s="8" t="str">
        <f t="shared" si="0"/>
        <v/>
      </c>
    </row>
    <row r="16" spans="1:9">
      <c r="A16" s="52"/>
      <c r="B16" s="57"/>
      <c r="C16" s="54"/>
      <c r="D16" s="55"/>
      <c r="E16" s="56"/>
      <c r="F16" s="56"/>
      <c r="G16" s="6"/>
      <c r="H16" s="7"/>
      <c r="I16" s="8" t="str">
        <f t="shared" si="0"/>
        <v/>
      </c>
    </row>
    <row r="17" spans="1:11">
      <c r="A17" s="52"/>
      <c r="B17" s="57"/>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16</v>
      </c>
      <c r="B19" s="5" t="s">
        <v>17</v>
      </c>
      <c r="C19" s="4" t="s">
        <v>18</v>
      </c>
      <c r="D19" s="16" t="s">
        <v>19</v>
      </c>
      <c r="E19" s="17" t="s">
        <v>20</v>
      </c>
      <c r="F19" s="16" t="s">
        <v>21</v>
      </c>
      <c r="G19" s="49" t="s">
        <v>22</v>
      </c>
      <c r="H19" s="49"/>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50"/>
      <c r="E22" s="50"/>
      <c r="F22" s="30"/>
      <c r="G22" s="31" t="s">
        <v>23</v>
      </c>
      <c r="H22" s="32">
        <f>IF(C20&lt;=25%,D20,MIN(E20:F20))</f>
        <v>757.25</v>
      </c>
    </row>
    <row r="23" spans="1:11">
      <c r="B23" s="25"/>
      <c r="C23" s="25"/>
      <c r="D23" s="50"/>
      <c r="E23" s="50"/>
      <c r="F23" s="33"/>
      <c r="G23" s="4" t="s">
        <v>24</v>
      </c>
      <c r="H23" s="24">
        <f>ROUND(H22,2)*D3</f>
        <v>7572.5</v>
      </c>
    </row>
    <row r="24" spans="1:11">
      <c r="B24" s="29"/>
      <c r="C24" s="29"/>
      <c r="D24" s="18"/>
      <c r="E24" s="18"/>
    </row>
    <row r="26" spans="1:11" ht="12.75" customHeight="1">
      <c r="A26" s="47" t="s">
        <v>25</v>
      </c>
      <c r="B26" s="47"/>
      <c r="C26" s="47"/>
      <c r="D26" s="47"/>
      <c r="E26" s="47"/>
      <c r="F26" s="47"/>
      <c r="G26" s="47"/>
      <c r="H26" s="47"/>
      <c r="I26" s="47"/>
    </row>
    <row r="27" spans="1:11" ht="12.75" customHeight="1">
      <c r="A27" s="47" t="s">
        <v>26</v>
      </c>
      <c r="B27" s="47"/>
      <c r="C27" s="47"/>
      <c r="D27" s="47"/>
      <c r="E27" s="47"/>
      <c r="F27" s="47"/>
      <c r="G27" s="47"/>
      <c r="H27" s="47"/>
      <c r="I27" s="47"/>
    </row>
    <row r="28" spans="1:11" ht="12.75" customHeight="1">
      <c r="A28" s="47" t="s">
        <v>27</v>
      </c>
      <c r="B28" s="47"/>
      <c r="C28" s="47"/>
      <c r="D28" s="47"/>
      <c r="E28" s="47"/>
      <c r="F28" s="47"/>
      <c r="G28" s="47"/>
      <c r="H28" s="47"/>
      <c r="I28" s="47"/>
    </row>
    <row r="29" spans="1:11" ht="12.75" customHeight="1">
      <c r="A29" s="47" t="s">
        <v>28</v>
      </c>
      <c r="B29" s="47"/>
      <c r="C29" s="47"/>
      <c r="D29" s="47"/>
      <c r="E29" s="47"/>
      <c r="F29" s="47"/>
      <c r="G29" s="47"/>
      <c r="H29" s="47"/>
      <c r="I29" s="47"/>
    </row>
    <row r="30" spans="1:11" ht="12.75" customHeight="1">
      <c r="A30" s="47" t="s">
        <v>29</v>
      </c>
      <c r="B30" s="47"/>
      <c r="C30" s="47"/>
      <c r="D30" s="47"/>
      <c r="E30" s="47"/>
      <c r="F30" s="47"/>
      <c r="G30" s="47"/>
      <c r="H30" s="47"/>
      <c r="I30" s="47"/>
    </row>
    <row r="31" spans="1:11" ht="12.75" customHeight="1">
      <c r="A31" s="47" t="s">
        <v>30</v>
      </c>
      <c r="B31" s="47"/>
      <c r="C31" s="47"/>
      <c r="D31" s="47"/>
      <c r="E31" s="47"/>
      <c r="F31" s="47"/>
      <c r="G31" s="47"/>
      <c r="H31" s="47"/>
      <c r="I31" s="47"/>
    </row>
    <row r="32" spans="1:11" ht="24.75" customHeight="1">
      <c r="A32" s="48" t="s">
        <v>31</v>
      </c>
      <c r="B32" s="48"/>
      <c r="C32" s="48"/>
      <c r="D32" s="48"/>
      <c r="E32" s="48"/>
      <c r="F32" s="48"/>
      <c r="G32" s="48"/>
      <c r="H32" s="48"/>
      <c r="I32" s="48"/>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51" t="s">
        <v>0</v>
      </c>
      <c r="B1" s="51"/>
      <c r="C1" s="51"/>
      <c r="D1" s="51"/>
      <c r="E1" s="51"/>
      <c r="F1" s="51"/>
      <c r="G1" s="51"/>
      <c r="H1" s="51"/>
      <c r="I1" s="51"/>
    </row>
    <row r="2" spans="1:9" ht="25.5">
      <c r="A2" s="52" t="s">
        <v>168</v>
      </c>
      <c r="B2" s="2" t="s">
        <v>2</v>
      </c>
      <c r="C2" s="2" t="s">
        <v>3</v>
      </c>
      <c r="D2" s="2" t="s">
        <v>4</v>
      </c>
      <c r="E2" s="3" t="s">
        <v>5</v>
      </c>
      <c r="F2" s="3" t="s">
        <v>6</v>
      </c>
      <c r="G2" s="2" t="s">
        <v>7</v>
      </c>
      <c r="H2" s="4" t="s">
        <v>8</v>
      </c>
      <c r="I2" s="5" t="s">
        <v>9</v>
      </c>
    </row>
    <row r="3" spans="1:9" ht="12.75" customHeight="1">
      <c r="A3" s="52"/>
      <c r="B3" s="57" t="s">
        <v>155</v>
      </c>
      <c r="C3" s="54" t="s">
        <v>41</v>
      </c>
      <c r="D3" s="55">
        <v>10</v>
      </c>
      <c r="E3" s="56">
        <f>IF(C20&lt;=25%,D20,MIN(E20:F20))</f>
        <v>757.25</v>
      </c>
      <c r="F3" s="56">
        <f>MIN(H3:H17)</f>
        <v>697.5</v>
      </c>
      <c r="G3" s="6" t="s">
        <v>156</v>
      </c>
      <c r="H3" s="7">
        <v>697.5</v>
      </c>
      <c r="I3" s="8">
        <f t="shared" ref="I3:I17" si="0">IF(H3="","",(IF($C$20&lt;25%,"N/A",IF(H3&lt;=($D$20+$A$20),H3,"Descartado"))))</f>
        <v>697.5</v>
      </c>
    </row>
    <row r="4" spans="1:9">
      <c r="A4" s="52"/>
      <c r="B4" s="57"/>
      <c r="C4" s="54"/>
      <c r="D4" s="55"/>
      <c r="E4" s="56"/>
      <c r="F4" s="56"/>
      <c r="G4" s="6" t="s">
        <v>157</v>
      </c>
      <c r="H4" s="7">
        <v>817</v>
      </c>
      <c r="I4" s="8">
        <f t="shared" si="0"/>
        <v>817</v>
      </c>
    </row>
    <row r="5" spans="1:9">
      <c r="A5" s="52"/>
      <c r="B5" s="57"/>
      <c r="C5" s="54"/>
      <c r="D5" s="55"/>
      <c r="E5" s="56"/>
      <c r="F5" s="56"/>
      <c r="G5" s="6" t="s">
        <v>158</v>
      </c>
      <c r="H5" s="7">
        <v>1125</v>
      </c>
      <c r="I5" s="8" t="str">
        <f t="shared" si="0"/>
        <v>Descartado</v>
      </c>
    </row>
    <row r="6" spans="1:9">
      <c r="A6" s="52"/>
      <c r="B6" s="57"/>
      <c r="C6" s="54"/>
      <c r="D6" s="55"/>
      <c r="E6" s="56"/>
      <c r="F6" s="56"/>
      <c r="G6" s="6"/>
      <c r="H6" s="7"/>
      <c r="I6" s="8" t="str">
        <f t="shared" si="0"/>
        <v/>
      </c>
    </row>
    <row r="7" spans="1:9">
      <c r="A7" s="52"/>
      <c r="B7" s="57"/>
      <c r="C7" s="54"/>
      <c r="D7" s="55"/>
      <c r="E7" s="56"/>
      <c r="F7" s="56"/>
      <c r="G7" s="6"/>
      <c r="H7" s="7"/>
      <c r="I7" s="8" t="str">
        <f t="shared" si="0"/>
        <v/>
      </c>
    </row>
    <row r="8" spans="1:9">
      <c r="A8" s="52"/>
      <c r="B8" s="57"/>
      <c r="C8" s="54"/>
      <c r="D8" s="55"/>
      <c r="E8" s="56"/>
      <c r="F8" s="56"/>
      <c r="G8" s="6"/>
      <c r="H8" s="7"/>
      <c r="I8" s="8" t="str">
        <f t="shared" si="0"/>
        <v/>
      </c>
    </row>
    <row r="9" spans="1:9">
      <c r="A9" s="52"/>
      <c r="B9" s="57"/>
      <c r="C9" s="54"/>
      <c r="D9" s="55"/>
      <c r="E9" s="56"/>
      <c r="F9" s="56"/>
      <c r="G9" s="6"/>
      <c r="H9" s="7"/>
      <c r="I9" s="8" t="str">
        <f t="shared" si="0"/>
        <v/>
      </c>
    </row>
    <row r="10" spans="1:9">
      <c r="A10" s="52"/>
      <c r="B10" s="57"/>
      <c r="C10" s="54"/>
      <c r="D10" s="55"/>
      <c r="E10" s="56"/>
      <c r="F10" s="56"/>
      <c r="G10" s="6"/>
      <c r="H10" s="7"/>
      <c r="I10" s="8" t="str">
        <f t="shared" si="0"/>
        <v/>
      </c>
    </row>
    <row r="11" spans="1:9">
      <c r="A11" s="52"/>
      <c r="B11" s="57"/>
      <c r="C11" s="54"/>
      <c r="D11" s="55"/>
      <c r="E11" s="56"/>
      <c r="F11" s="56"/>
      <c r="G11" s="6"/>
      <c r="H11" s="7"/>
      <c r="I11" s="8" t="str">
        <f t="shared" si="0"/>
        <v/>
      </c>
    </row>
    <row r="12" spans="1:9">
      <c r="A12" s="52"/>
      <c r="B12" s="57"/>
      <c r="C12" s="54"/>
      <c r="D12" s="55"/>
      <c r="E12" s="56"/>
      <c r="F12" s="56"/>
      <c r="G12" s="6"/>
      <c r="H12" s="7"/>
      <c r="I12" s="8" t="str">
        <f t="shared" si="0"/>
        <v/>
      </c>
    </row>
    <row r="13" spans="1:9">
      <c r="A13" s="52"/>
      <c r="B13" s="57"/>
      <c r="C13" s="54"/>
      <c r="D13" s="55"/>
      <c r="E13" s="56"/>
      <c r="F13" s="56"/>
      <c r="G13" s="6"/>
      <c r="H13" s="7"/>
      <c r="I13" s="8" t="str">
        <f t="shared" si="0"/>
        <v/>
      </c>
    </row>
    <row r="14" spans="1:9">
      <c r="A14" s="52"/>
      <c r="B14" s="57"/>
      <c r="C14" s="54"/>
      <c r="D14" s="55"/>
      <c r="E14" s="56"/>
      <c r="F14" s="56"/>
      <c r="G14" s="6"/>
      <c r="H14" s="7"/>
      <c r="I14" s="8" t="str">
        <f t="shared" si="0"/>
        <v/>
      </c>
    </row>
    <row r="15" spans="1:9">
      <c r="A15" s="52"/>
      <c r="B15" s="57"/>
      <c r="C15" s="54"/>
      <c r="D15" s="55"/>
      <c r="E15" s="56"/>
      <c r="F15" s="56"/>
      <c r="G15" s="6"/>
      <c r="H15" s="7"/>
      <c r="I15" s="8" t="str">
        <f t="shared" si="0"/>
        <v/>
      </c>
    </row>
    <row r="16" spans="1:9">
      <c r="A16" s="52"/>
      <c r="B16" s="57"/>
      <c r="C16" s="54"/>
      <c r="D16" s="55"/>
      <c r="E16" s="56"/>
      <c r="F16" s="56"/>
      <c r="G16" s="6"/>
      <c r="H16" s="7"/>
      <c r="I16" s="8" t="str">
        <f t="shared" si="0"/>
        <v/>
      </c>
    </row>
    <row r="17" spans="1:11">
      <c r="A17" s="52"/>
      <c r="B17" s="57"/>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16</v>
      </c>
      <c r="B19" s="5" t="s">
        <v>17</v>
      </c>
      <c r="C19" s="4" t="s">
        <v>18</v>
      </c>
      <c r="D19" s="16" t="s">
        <v>19</v>
      </c>
      <c r="E19" s="17" t="s">
        <v>20</v>
      </c>
      <c r="F19" s="16" t="s">
        <v>21</v>
      </c>
      <c r="G19" s="49" t="s">
        <v>22</v>
      </c>
      <c r="H19" s="49"/>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50"/>
      <c r="E22" s="50"/>
      <c r="F22" s="30"/>
      <c r="G22" s="31" t="s">
        <v>23</v>
      </c>
      <c r="H22" s="32">
        <f>IF(C20&lt;=25%,D20,MIN(E20:F20))</f>
        <v>757.25</v>
      </c>
    </row>
    <row r="23" spans="1:11">
      <c r="B23" s="25"/>
      <c r="C23" s="25"/>
      <c r="D23" s="50"/>
      <c r="E23" s="50"/>
      <c r="F23" s="33"/>
      <c r="G23" s="4" t="s">
        <v>24</v>
      </c>
      <c r="H23" s="24">
        <f>ROUND(H22,2)*D3</f>
        <v>7572.5</v>
      </c>
    </row>
    <row r="24" spans="1:11">
      <c r="B24" s="29"/>
      <c r="C24" s="29"/>
      <c r="D24" s="18"/>
      <c r="E24" s="18"/>
    </row>
    <row r="26" spans="1:11" ht="12.75" customHeight="1">
      <c r="A26" s="47" t="s">
        <v>25</v>
      </c>
      <c r="B26" s="47"/>
      <c r="C26" s="47"/>
      <c r="D26" s="47"/>
      <c r="E26" s="47"/>
      <c r="F26" s="47"/>
      <c r="G26" s="47"/>
      <c r="H26" s="47"/>
      <c r="I26" s="47"/>
    </row>
    <row r="27" spans="1:11" ht="12.75" customHeight="1">
      <c r="A27" s="47" t="s">
        <v>26</v>
      </c>
      <c r="B27" s="47"/>
      <c r="C27" s="47"/>
      <c r="D27" s="47"/>
      <c r="E27" s="47"/>
      <c r="F27" s="47"/>
      <c r="G27" s="47"/>
      <c r="H27" s="47"/>
      <c r="I27" s="47"/>
    </row>
    <row r="28" spans="1:11" ht="12.75" customHeight="1">
      <c r="A28" s="47" t="s">
        <v>27</v>
      </c>
      <c r="B28" s="47"/>
      <c r="C28" s="47"/>
      <c r="D28" s="47"/>
      <c r="E28" s="47"/>
      <c r="F28" s="47"/>
      <c r="G28" s="47"/>
      <c r="H28" s="47"/>
      <c r="I28" s="47"/>
    </row>
    <row r="29" spans="1:11" ht="12.75" customHeight="1">
      <c r="A29" s="47" t="s">
        <v>28</v>
      </c>
      <c r="B29" s="47"/>
      <c r="C29" s="47"/>
      <c r="D29" s="47"/>
      <c r="E29" s="47"/>
      <c r="F29" s="47"/>
      <c r="G29" s="47"/>
      <c r="H29" s="47"/>
      <c r="I29" s="47"/>
    </row>
    <row r="30" spans="1:11" ht="12.75" customHeight="1">
      <c r="A30" s="47" t="s">
        <v>29</v>
      </c>
      <c r="B30" s="47"/>
      <c r="C30" s="47"/>
      <c r="D30" s="47"/>
      <c r="E30" s="47"/>
      <c r="F30" s="47"/>
      <c r="G30" s="47"/>
      <c r="H30" s="47"/>
      <c r="I30" s="47"/>
    </row>
    <row r="31" spans="1:11" ht="12.75" customHeight="1">
      <c r="A31" s="47" t="s">
        <v>30</v>
      </c>
      <c r="B31" s="47"/>
      <c r="C31" s="47"/>
      <c r="D31" s="47"/>
      <c r="E31" s="47"/>
      <c r="F31" s="47"/>
      <c r="G31" s="47"/>
      <c r="H31" s="47"/>
      <c r="I31" s="47"/>
    </row>
    <row r="32" spans="1:11" ht="24.75" customHeight="1">
      <c r="A32" s="48" t="s">
        <v>31</v>
      </c>
      <c r="B32" s="48"/>
      <c r="C32" s="48"/>
      <c r="D32" s="48"/>
      <c r="E32" s="48"/>
      <c r="F32" s="48"/>
      <c r="G32" s="48"/>
      <c r="H32" s="48"/>
      <c r="I32" s="48"/>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51" t="s">
        <v>0</v>
      </c>
      <c r="B1" s="51"/>
      <c r="C1" s="51"/>
      <c r="D1" s="51"/>
      <c r="E1" s="51"/>
      <c r="F1" s="51"/>
      <c r="G1" s="51"/>
      <c r="H1" s="51"/>
      <c r="I1" s="51"/>
    </row>
    <row r="2" spans="1:9" ht="25.5">
      <c r="A2" s="52" t="s">
        <v>169</v>
      </c>
      <c r="B2" s="2" t="s">
        <v>2</v>
      </c>
      <c r="C2" s="2" t="s">
        <v>3</v>
      </c>
      <c r="D2" s="2" t="s">
        <v>4</v>
      </c>
      <c r="E2" s="3" t="s">
        <v>5</v>
      </c>
      <c r="F2" s="3" t="s">
        <v>6</v>
      </c>
      <c r="G2" s="2" t="s">
        <v>7</v>
      </c>
      <c r="H2" s="4" t="s">
        <v>8</v>
      </c>
      <c r="I2" s="5" t="s">
        <v>9</v>
      </c>
    </row>
    <row r="3" spans="1:9" ht="12.75" customHeight="1">
      <c r="A3" s="52"/>
      <c r="B3" s="57" t="s">
        <v>155</v>
      </c>
      <c r="C3" s="54" t="s">
        <v>41</v>
      </c>
      <c r="D3" s="55">
        <v>10</v>
      </c>
      <c r="E3" s="56">
        <f>IF(C20&lt;=25%,D20,MIN(E20:F20))</f>
        <v>757.25</v>
      </c>
      <c r="F3" s="56">
        <f>MIN(H3:H17)</f>
        <v>697.5</v>
      </c>
      <c r="G3" s="6" t="s">
        <v>156</v>
      </c>
      <c r="H3" s="7">
        <v>697.5</v>
      </c>
      <c r="I3" s="8">
        <f t="shared" ref="I3:I17" si="0">IF(H3="","",(IF($C$20&lt;25%,"N/A",IF(H3&lt;=($D$20+$A$20),H3,"Descartado"))))</f>
        <v>697.5</v>
      </c>
    </row>
    <row r="4" spans="1:9">
      <c r="A4" s="52"/>
      <c r="B4" s="57"/>
      <c r="C4" s="54"/>
      <c r="D4" s="55"/>
      <c r="E4" s="56"/>
      <c r="F4" s="56"/>
      <c r="G4" s="6" t="s">
        <v>157</v>
      </c>
      <c r="H4" s="7">
        <v>817</v>
      </c>
      <c r="I4" s="8">
        <f t="shared" si="0"/>
        <v>817</v>
      </c>
    </row>
    <row r="5" spans="1:9">
      <c r="A5" s="52"/>
      <c r="B5" s="57"/>
      <c r="C5" s="54"/>
      <c r="D5" s="55"/>
      <c r="E5" s="56"/>
      <c r="F5" s="56"/>
      <c r="G5" s="6" t="s">
        <v>158</v>
      </c>
      <c r="H5" s="7">
        <v>1125</v>
      </c>
      <c r="I5" s="8" t="str">
        <f t="shared" si="0"/>
        <v>Descartado</v>
      </c>
    </row>
    <row r="6" spans="1:9">
      <c r="A6" s="52"/>
      <c r="B6" s="57"/>
      <c r="C6" s="54"/>
      <c r="D6" s="55"/>
      <c r="E6" s="56"/>
      <c r="F6" s="56"/>
      <c r="G6" s="6"/>
      <c r="H6" s="7"/>
      <c r="I6" s="8" t="str">
        <f t="shared" si="0"/>
        <v/>
      </c>
    </row>
    <row r="7" spans="1:9">
      <c r="A7" s="52"/>
      <c r="B7" s="57"/>
      <c r="C7" s="54"/>
      <c r="D7" s="55"/>
      <c r="E7" s="56"/>
      <c r="F7" s="56"/>
      <c r="G7" s="6"/>
      <c r="H7" s="7"/>
      <c r="I7" s="8" t="str">
        <f t="shared" si="0"/>
        <v/>
      </c>
    </row>
    <row r="8" spans="1:9">
      <c r="A8" s="52"/>
      <c r="B8" s="57"/>
      <c r="C8" s="54"/>
      <c r="D8" s="55"/>
      <c r="E8" s="56"/>
      <c r="F8" s="56"/>
      <c r="G8" s="6"/>
      <c r="H8" s="7"/>
      <c r="I8" s="8" t="str">
        <f t="shared" si="0"/>
        <v/>
      </c>
    </row>
    <row r="9" spans="1:9">
      <c r="A9" s="52"/>
      <c r="B9" s="57"/>
      <c r="C9" s="54"/>
      <c r="D9" s="55"/>
      <c r="E9" s="56"/>
      <c r="F9" s="56"/>
      <c r="G9" s="6"/>
      <c r="H9" s="7"/>
      <c r="I9" s="8" t="str">
        <f t="shared" si="0"/>
        <v/>
      </c>
    </row>
    <row r="10" spans="1:9">
      <c r="A10" s="52"/>
      <c r="B10" s="57"/>
      <c r="C10" s="54"/>
      <c r="D10" s="55"/>
      <c r="E10" s="56"/>
      <c r="F10" s="56"/>
      <c r="G10" s="6"/>
      <c r="H10" s="7"/>
      <c r="I10" s="8" t="str">
        <f t="shared" si="0"/>
        <v/>
      </c>
    </row>
    <row r="11" spans="1:9">
      <c r="A11" s="52"/>
      <c r="B11" s="57"/>
      <c r="C11" s="54"/>
      <c r="D11" s="55"/>
      <c r="E11" s="56"/>
      <c r="F11" s="56"/>
      <c r="G11" s="6"/>
      <c r="H11" s="7"/>
      <c r="I11" s="8" t="str">
        <f t="shared" si="0"/>
        <v/>
      </c>
    </row>
    <row r="12" spans="1:9">
      <c r="A12" s="52"/>
      <c r="B12" s="57"/>
      <c r="C12" s="54"/>
      <c r="D12" s="55"/>
      <c r="E12" s="56"/>
      <c r="F12" s="56"/>
      <c r="G12" s="6"/>
      <c r="H12" s="7"/>
      <c r="I12" s="8" t="str">
        <f t="shared" si="0"/>
        <v/>
      </c>
    </row>
    <row r="13" spans="1:9">
      <c r="A13" s="52"/>
      <c r="B13" s="57"/>
      <c r="C13" s="54"/>
      <c r="D13" s="55"/>
      <c r="E13" s="56"/>
      <c r="F13" s="56"/>
      <c r="G13" s="6"/>
      <c r="H13" s="7"/>
      <c r="I13" s="8" t="str">
        <f t="shared" si="0"/>
        <v/>
      </c>
    </row>
    <row r="14" spans="1:9">
      <c r="A14" s="52"/>
      <c r="B14" s="57"/>
      <c r="C14" s="54"/>
      <c r="D14" s="55"/>
      <c r="E14" s="56"/>
      <c r="F14" s="56"/>
      <c r="G14" s="6"/>
      <c r="H14" s="7"/>
      <c r="I14" s="8" t="str">
        <f t="shared" si="0"/>
        <v/>
      </c>
    </row>
    <row r="15" spans="1:9">
      <c r="A15" s="52"/>
      <c r="B15" s="57"/>
      <c r="C15" s="54"/>
      <c r="D15" s="55"/>
      <c r="E15" s="56"/>
      <c r="F15" s="56"/>
      <c r="G15" s="6"/>
      <c r="H15" s="7"/>
      <c r="I15" s="8" t="str">
        <f t="shared" si="0"/>
        <v/>
      </c>
    </row>
    <row r="16" spans="1:9">
      <c r="A16" s="52"/>
      <c r="B16" s="57"/>
      <c r="C16" s="54"/>
      <c r="D16" s="55"/>
      <c r="E16" s="56"/>
      <c r="F16" s="56"/>
      <c r="G16" s="6"/>
      <c r="H16" s="7"/>
      <c r="I16" s="8" t="str">
        <f t="shared" si="0"/>
        <v/>
      </c>
    </row>
    <row r="17" spans="1:11">
      <c r="A17" s="52"/>
      <c r="B17" s="57"/>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16</v>
      </c>
      <c r="B19" s="5" t="s">
        <v>17</v>
      </c>
      <c r="C19" s="4" t="s">
        <v>18</v>
      </c>
      <c r="D19" s="16" t="s">
        <v>19</v>
      </c>
      <c r="E19" s="17" t="s">
        <v>20</v>
      </c>
      <c r="F19" s="16" t="s">
        <v>21</v>
      </c>
      <c r="G19" s="49" t="s">
        <v>22</v>
      </c>
      <c r="H19" s="49"/>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50"/>
      <c r="E22" s="50"/>
      <c r="F22" s="30"/>
      <c r="G22" s="31" t="s">
        <v>23</v>
      </c>
      <c r="H22" s="32">
        <f>IF(C20&lt;=25%,D20,MIN(E20:F20))</f>
        <v>757.25</v>
      </c>
    </row>
    <row r="23" spans="1:11">
      <c r="B23" s="25"/>
      <c r="C23" s="25"/>
      <c r="D23" s="50"/>
      <c r="E23" s="50"/>
      <c r="F23" s="33"/>
      <c r="G23" s="4" t="s">
        <v>24</v>
      </c>
      <c r="H23" s="24">
        <f>ROUND(H22,2)*D3</f>
        <v>7572.5</v>
      </c>
    </row>
    <row r="24" spans="1:11">
      <c r="B24" s="29"/>
      <c r="C24" s="29"/>
      <c r="D24" s="18"/>
      <c r="E24" s="18"/>
    </row>
    <row r="26" spans="1:11" ht="12.75" customHeight="1">
      <c r="A26" s="47" t="s">
        <v>25</v>
      </c>
      <c r="B26" s="47"/>
      <c r="C26" s="47"/>
      <c r="D26" s="47"/>
      <c r="E26" s="47"/>
      <c r="F26" s="47"/>
      <c r="G26" s="47"/>
      <c r="H26" s="47"/>
      <c r="I26" s="47"/>
    </row>
    <row r="27" spans="1:11" ht="12.75" customHeight="1">
      <c r="A27" s="47" t="s">
        <v>26</v>
      </c>
      <c r="B27" s="47"/>
      <c r="C27" s="47"/>
      <c r="D27" s="47"/>
      <c r="E27" s="47"/>
      <c r="F27" s="47"/>
      <c r="G27" s="47"/>
      <c r="H27" s="47"/>
      <c r="I27" s="47"/>
    </row>
    <row r="28" spans="1:11" ht="12.75" customHeight="1">
      <c r="A28" s="47" t="s">
        <v>27</v>
      </c>
      <c r="B28" s="47"/>
      <c r="C28" s="47"/>
      <c r="D28" s="47"/>
      <c r="E28" s="47"/>
      <c r="F28" s="47"/>
      <c r="G28" s="47"/>
      <c r="H28" s="47"/>
      <c r="I28" s="47"/>
    </row>
    <row r="29" spans="1:11" ht="12.75" customHeight="1">
      <c r="A29" s="47" t="s">
        <v>28</v>
      </c>
      <c r="B29" s="47"/>
      <c r="C29" s="47"/>
      <c r="D29" s="47"/>
      <c r="E29" s="47"/>
      <c r="F29" s="47"/>
      <c r="G29" s="47"/>
      <c r="H29" s="47"/>
      <c r="I29" s="47"/>
    </row>
    <row r="30" spans="1:11" ht="12.75" customHeight="1">
      <c r="A30" s="47" t="s">
        <v>29</v>
      </c>
      <c r="B30" s="47"/>
      <c r="C30" s="47"/>
      <c r="D30" s="47"/>
      <c r="E30" s="47"/>
      <c r="F30" s="47"/>
      <c r="G30" s="47"/>
      <c r="H30" s="47"/>
      <c r="I30" s="47"/>
    </row>
    <row r="31" spans="1:11" ht="12.75" customHeight="1">
      <c r="A31" s="47" t="s">
        <v>30</v>
      </c>
      <c r="B31" s="47"/>
      <c r="C31" s="47"/>
      <c r="D31" s="47"/>
      <c r="E31" s="47"/>
      <c r="F31" s="47"/>
      <c r="G31" s="47"/>
      <c r="H31" s="47"/>
      <c r="I31" s="47"/>
    </row>
    <row r="32" spans="1:11" ht="24.75" customHeight="1">
      <c r="A32" s="48" t="s">
        <v>31</v>
      </c>
      <c r="B32" s="48"/>
      <c r="C32" s="48"/>
      <c r="D32" s="48"/>
      <c r="E32" s="48"/>
      <c r="F32" s="48"/>
      <c r="G32" s="48"/>
      <c r="H32" s="48"/>
      <c r="I32" s="48"/>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51" t="s">
        <v>0</v>
      </c>
      <c r="B1" s="51"/>
      <c r="C1" s="51"/>
      <c r="D1" s="51"/>
      <c r="E1" s="51"/>
      <c r="F1" s="51"/>
      <c r="G1" s="51"/>
      <c r="H1" s="51"/>
      <c r="I1" s="51"/>
    </row>
    <row r="2" spans="1:9" ht="25.5">
      <c r="A2" s="52" t="s">
        <v>170</v>
      </c>
      <c r="B2" s="2" t="s">
        <v>2</v>
      </c>
      <c r="C2" s="2" t="s">
        <v>3</v>
      </c>
      <c r="D2" s="2" t="s">
        <v>4</v>
      </c>
      <c r="E2" s="3" t="s">
        <v>5</v>
      </c>
      <c r="F2" s="3" t="s">
        <v>6</v>
      </c>
      <c r="G2" s="2" t="s">
        <v>7</v>
      </c>
      <c r="H2" s="4" t="s">
        <v>8</v>
      </c>
      <c r="I2" s="5" t="s">
        <v>9</v>
      </c>
    </row>
    <row r="3" spans="1:9" ht="12.75" customHeight="1">
      <c r="A3" s="52"/>
      <c r="B3" s="57" t="s">
        <v>155</v>
      </c>
      <c r="C3" s="54" t="s">
        <v>41</v>
      </c>
      <c r="D3" s="55">
        <v>10</v>
      </c>
      <c r="E3" s="56">
        <f>IF(C20&lt;=25%,D20,MIN(E20:F20))</f>
        <v>757.25</v>
      </c>
      <c r="F3" s="56">
        <f>MIN(H3:H17)</f>
        <v>697.5</v>
      </c>
      <c r="G3" s="6" t="s">
        <v>156</v>
      </c>
      <c r="H3" s="7">
        <v>697.5</v>
      </c>
      <c r="I3" s="8">
        <f t="shared" ref="I3:I17" si="0">IF(H3="","",(IF($C$20&lt;25%,"N/A",IF(H3&lt;=($D$20+$A$20),H3,"Descartado"))))</f>
        <v>697.5</v>
      </c>
    </row>
    <row r="4" spans="1:9">
      <c r="A4" s="52"/>
      <c r="B4" s="57"/>
      <c r="C4" s="54"/>
      <c r="D4" s="55"/>
      <c r="E4" s="56"/>
      <c r="F4" s="56"/>
      <c r="G4" s="6" t="s">
        <v>157</v>
      </c>
      <c r="H4" s="7">
        <v>817</v>
      </c>
      <c r="I4" s="8">
        <f t="shared" si="0"/>
        <v>817</v>
      </c>
    </row>
    <row r="5" spans="1:9">
      <c r="A5" s="52"/>
      <c r="B5" s="57"/>
      <c r="C5" s="54"/>
      <c r="D5" s="55"/>
      <c r="E5" s="56"/>
      <c r="F5" s="56"/>
      <c r="G5" s="6" t="s">
        <v>158</v>
      </c>
      <c r="H5" s="7">
        <v>1125</v>
      </c>
      <c r="I5" s="8" t="str">
        <f t="shared" si="0"/>
        <v>Descartado</v>
      </c>
    </row>
    <row r="6" spans="1:9">
      <c r="A6" s="52"/>
      <c r="B6" s="57"/>
      <c r="C6" s="54"/>
      <c r="D6" s="55"/>
      <c r="E6" s="56"/>
      <c r="F6" s="56"/>
      <c r="G6" s="6"/>
      <c r="H6" s="7"/>
      <c r="I6" s="8" t="str">
        <f t="shared" si="0"/>
        <v/>
      </c>
    </row>
    <row r="7" spans="1:9">
      <c r="A7" s="52"/>
      <c r="B7" s="57"/>
      <c r="C7" s="54"/>
      <c r="D7" s="55"/>
      <c r="E7" s="56"/>
      <c r="F7" s="56"/>
      <c r="G7" s="6"/>
      <c r="H7" s="7"/>
      <c r="I7" s="8" t="str">
        <f t="shared" si="0"/>
        <v/>
      </c>
    </row>
    <row r="8" spans="1:9">
      <c r="A8" s="52"/>
      <c r="B8" s="57"/>
      <c r="C8" s="54"/>
      <c r="D8" s="55"/>
      <c r="E8" s="56"/>
      <c r="F8" s="56"/>
      <c r="G8" s="6"/>
      <c r="H8" s="7"/>
      <c r="I8" s="8" t="str">
        <f t="shared" si="0"/>
        <v/>
      </c>
    </row>
    <row r="9" spans="1:9">
      <c r="A9" s="52"/>
      <c r="B9" s="57"/>
      <c r="C9" s="54"/>
      <c r="D9" s="55"/>
      <c r="E9" s="56"/>
      <c r="F9" s="56"/>
      <c r="G9" s="6"/>
      <c r="H9" s="7"/>
      <c r="I9" s="8" t="str">
        <f t="shared" si="0"/>
        <v/>
      </c>
    </row>
    <row r="10" spans="1:9">
      <c r="A10" s="52"/>
      <c r="B10" s="57"/>
      <c r="C10" s="54"/>
      <c r="D10" s="55"/>
      <c r="E10" s="56"/>
      <c r="F10" s="56"/>
      <c r="G10" s="6"/>
      <c r="H10" s="7"/>
      <c r="I10" s="8" t="str">
        <f t="shared" si="0"/>
        <v/>
      </c>
    </row>
    <row r="11" spans="1:9">
      <c r="A11" s="52"/>
      <c r="B11" s="57"/>
      <c r="C11" s="54"/>
      <c r="D11" s="55"/>
      <c r="E11" s="56"/>
      <c r="F11" s="56"/>
      <c r="G11" s="6"/>
      <c r="H11" s="7"/>
      <c r="I11" s="8" t="str">
        <f t="shared" si="0"/>
        <v/>
      </c>
    </row>
    <row r="12" spans="1:9">
      <c r="A12" s="52"/>
      <c r="B12" s="57"/>
      <c r="C12" s="54"/>
      <c r="D12" s="55"/>
      <c r="E12" s="56"/>
      <c r="F12" s="56"/>
      <c r="G12" s="6"/>
      <c r="H12" s="7"/>
      <c r="I12" s="8" t="str">
        <f t="shared" si="0"/>
        <v/>
      </c>
    </row>
    <row r="13" spans="1:9">
      <c r="A13" s="52"/>
      <c r="B13" s="57"/>
      <c r="C13" s="54"/>
      <c r="D13" s="55"/>
      <c r="E13" s="56"/>
      <c r="F13" s="56"/>
      <c r="G13" s="6"/>
      <c r="H13" s="7"/>
      <c r="I13" s="8" t="str">
        <f t="shared" si="0"/>
        <v/>
      </c>
    </row>
    <row r="14" spans="1:9">
      <c r="A14" s="52"/>
      <c r="B14" s="57"/>
      <c r="C14" s="54"/>
      <c r="D14" s="55"/>
      <c r="E14" s="56"/>
      <c r="F14" s="56"/>
      <c r="G14" s="6"/>
      <c r="H14" s="7"/>
      <c r="I14" s="8" t="str">
        <f t="shared" si="0"/>
        <v/>
      </c>
    </row>
    <row r="15" spans="1:9">
      <c r="A15" s="52"/>
      <c r="B15" s="57"/>
      <c r="C15" s="54"/>
      <c r="D15" s="55"/>
      <c r="E15" s="56"/>
      <c r="F15" s="56"/>
      <c r="G15" s="6"/>
      <c r="H15" s="7"/>
      <c r="I15" s="8" t="str">
        <f t="shared" si="0"/>
        <v/>
      </c>
    </row>
    <row r="16" spans="1:9">
      <c r="A16" s="52"/>
      <c r="B16" s="57"/>
      <c r="C16" s="54"/>
      <c r="D16" s="55"/>
      <c r="E16" s="56"/>
      <c r="F16" s="56"/>
      <c r="G16" s="6"/>
      <c r="H16" s="7"/>
      <c r="I16" s="8" t="str">
        <f t="shared" si="0"/>
        <v/>
      </c>
    </row>
    <row r="17" spans="1:11">
      <c r="A17" s="52"/>
      <c r="B17" s="57"/>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16</v>
      </c>
      <c r="B19" s="5" t="s">
        <v>17</v>
      </c>
      <c r="C19" s="4" t="s">
        <v>18</v>
      </c>
      <c r="D19" s="16" t="s">
        <v>19</v>
      </c>
      <c r="E19" s="17" t="s">
        <v>20</v>
      </c>
      <c r="F19" s="16" t="s">
        <v>21</v>
      </c>
      <c r="G19" s="49" t="s">
        <v>22</v>
      </c>
      <c r="H19" s="49"/>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50"/>
      <c r="E22" s="50"/>
      <c r="F22" s="30"/>
      <c r="G22" s="31" t="s">
        <v>23</v>
      </c>
      <c r="H22" s="32">
        <f>IF(C20&lt;=25%,D20,MIN(E20:F20))</f>
        <v>757.25</v>
      </c>
    </row>
    <row r="23" spans="1:11">
      <c r="B23" s="25"/>
      <c r="C23" s="25"/>
      <c r="D23" s="50"/>
      <c r="E23" s="50"/>
      <c r="F23" s="33"/>
      <c r="G23" s="4" t="s">
        <v>24</v>
      </c>
      <c r="H23" s="24">
        <f>ROUND(H22,2)*D3</f>
        <v>7572.5</v>
      </c>
    </row>
    <row r="24" spans="1:11">
      <c r="B24" s="29"/>
      <c r="C24" s="29"/>
      <c r="D24" s="18"/>
      <c r="E24" s="18"/>
    </row>
    <row r="26" spans="1:11" ht="12.75" customHeight="1">
      <c r="A26" s="47" t="s">
        <v>25</v>
      </c>
      <c r="B26" s="47"/>
      <c r="C26" s="47"/>
      <c r="D26" s="47"/>
      <c r="E26" s="47"/>
      <c r="F26" s="47"/>
      <c r="G26" s="47"/>
      <c r="H26" s="47"/>
      <c r="I26" s="47"/>
    </row>
    <row r="27" spans="1:11" ht="12.75" customHeight="1">
      <c r="A27" s="47" t="s">
        <v>26</v>
      </c>
      <c r="B27" s="47"/>
      <c r="C27" s="47"/>
      <c r="D27" s="47"/>
      <c r="E27" s="47"/>
      <c r="F27" s="47"/>
      <c r="G27" s="47"/>
      <c r="H27" s="47"/>
      <c r="I27" s="47"/>
    </row>
    <row r="28" spans="1:11" ht="12.75" customHeight="1">
      <c r="A28" s="47" t="s">
        <v>27</v>
      </c>
      <c r="B28" s="47"/>
      <c r="C28" s="47"/>
      <c r="D28" s="47"/>
      <c r="E28" s="47"/>
      <c r="F28" s="47"/>
      <c r="G28" s="47"/>
      <c r="H28" s="47"/>
      <c r="I28" s="47"/>
    </row>
    <row r="29" spans="1:11" ht="12.75" customHeight="1">
      <c r="A29" s="47" t="s">
        <v>28</v>
      </c>
      <c r="B29" s="47"/>
      <c r="C29" s="47"/>
      <c r="D29" s="47"/>
      <c r="E29" s="47"/>
      <c r="F29" s="47"/>
      <c r="G29" s="47"/>
      <c r="H29" s="47"/>
      <c r="I29" s="47"/>
    </row>
    <row r="30" spans="1:11" ht="12.75" customHeight="1">
      <c r="A30" s="47" t="s">
        <v>29</v>
      </c>
      <c r="B30" s="47"/>
      <c r="C30" s="47"/>
      <c r="D30" s="47"/>
      <c r="E30" s="47"/>
      <c r="F30" s="47"/>
      <c r="G30" s="47"/>
      <c r="H30" s="47"/>
      <c r="I30" s="47"/>
    </row>
    <row r="31" spans="1:11" ht="12.75" customHeight="1">
      <c r="A31" s="47" t="s">
        <v>30</v>
      </c>
      <c r="B31" s="47"/>
      <c r="C31" s="47"/>
      <c r="D31" s="47"/>
      <c r="E31" s="47"/>
      <c r="F31" s="47"/>
      <c r="G31" s="47"/>
      <c r="H31" s="47"/>
      <c r="I31" s="47"/>
    </row>
    <row r="32" spans="1:11" ht="24.75" customHeight="1">
      <c r="A32" s="48" t="s">
        <v>31</v>
      </c>
      <c r="B32" s="48"/>
      <c r="C32" s="48"/>
      <c r="D32" s="48"/>
      <c r="E32" s="48"/>
      <c r="F32" s="48"/>
      <c r="G32" s="48"/>
      <c r="H32" s="48"/>
      <c r="I32" s="48"/>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51" t="s">
        <v>0</v>
      </c>
      <c r="B1" s="51"/>
      <c r="C1" s="51"/>
      <c r="D1" s="51"/>
      <c r="E1" s="51"/>
      <c r="F1" s="51"/>
      <c r="G1" s="51"/>
      <c r="H1" s="51"/>
      <c r="I1" s="51"/>
    </row>
    <row r="2" spans="1:9" ht="25.5">
      <c r="A2" s="52" t="s">
        <v>171</v>
      </c>
      <c r="B2" s="2" t="s">
        <v>2</v>
      </c>
      <c r="C2" s="2" t="s">
        <v>3</v>
      </c>
      <c r="D2" s="2" t="s">
        <v>4</v>
      </c>
      <c r="E2" s="3" t="s">
        <v>5</v>
      </c>
      <c r="F2" s="3" t="s">
        <v>6</v>
      </c>
      <c r="G2" s="2" t="s">
        <v>7</v>
      </c>
      <c r="H2" s="4" t="s">
        <v>8</v>
      </c>
      <c r="I2" s="5" t="s">
        <v>9</v>
      </c>
    </row>
    <row r="3" spans="1:9" ht="12.75" customHeight="1">
      <c r="A3" s="52"/>
      <c r="B3" s="57" t="s">
        <v>155</v>
      </c>
      <c r="C3" s="54" t="s">
        <v>41</v>
      </c>
      <c r="D3" s="55">
        <v>10</v>
      </c>
      <c r="E3" s="56">
        <f>IF(C20&lt;=25%,D20,MIN(E20:F20))</f>
        <v>757.25</v>
      </c>
      <c r="F3" s="56">
        <f>MIN(H3:H17)</f>
        <v>697.5</v>
      </c>
      <c r="G3" s="6" t="s">
        <v>156</v>
      </c>
      <c r="H3" s="7">
        <v>697.5</v>
      </c>
      <c r="I3" s="8">
        <f t="shared" ref="I3:I17" si="0">IF(H3="","",(IF($C$20&lt;25%,"N/A",IF(H3&lt;=($D$20+$A$20),H3,"Descartado"))))</f>
        <v>697.5</v>
      </c>
    </row>
    <row r="4" spans="1:9">
      <c r="A4" s="52"/>
      <c r="B4" s="57"/>
      <c r="C4" s="54"/>
      <c r="D4" s="55"/>
      <c r="E4" s="56"/>
      <c r="F4" s="56"/>
      <c r="G4" s="6" t="s">
        <v>157</v>
      </c>
      <c r="H4" s="7">
        <v>817</v>
      </c>
      <c r="I4" s="8">
        <f t="shared" si="0"/>
        <v>817</v>
      </c>
    </row>
    <row r="5" spans="1:9">
      <c r="A5" s="52"/>
      <c r="B5" s="57"/>
      <c r="C5" s="54"/>
      <c r="D5" s="55"/>
      <c r="E5" s="56"/>
      <c r="F5" s="56"/>
      <c r="G5" s="6" t="s">
        <v>158</v>
      </c>
      <c r="H5" s="7">
        <v>1125</v>
      </c>
      <c r="I5" s="8" t="str">
        <f t="shared" si="0"/>
        <v>Descartado</v>
      </c>
    </row>
    <row r="6" spans="1:9">
      <c r="A6" s="52"/>
      <c r="B6" s="57"/>
      <c r="C6" s="54"/>
      <c r="D6" s="55"/>
      <c r="E6" s="56"/>
      <c r="F6" s="56"/>
      <c r="G6" s="6"/>
      <c r="H6" s="7"/>
      <c r="I6" s="8" t="str">
        <f t="shared" si="0"/>
        <v/>
      </c>
    </row>
    <row r="7" spans="1:9">
      <c r="A7" s="52"/>
      <c r="B7" s="57"/>
      <c r="C7" s="54"/>
      <c r="D7" s="55"/>
      <c r="E7" s="56"/>
      <c r="F7" s="56"/>
      <c r="G7" s="6"/>
      <c r="H7" s="7"/>
      <c r="I7" s="8" t="str">
        <f t="shared" si="0"/>
        <v/>
      </c>
    </row>
    <row r="8" spans="1:9">
      <c r="A8" s="52"/>
      <c r="B8" s="57"/>
      <c r="C8" s="54"/>
      <c r="D8" s="55"/>
      <c r="E8" s="56"/>
      <c r="F8" s="56"/>
      <c r="G8" s="6"/>
      <c r="H8" s="7"/>
      <c r="I8" s="8" t="str">
        <f t="shared" si="0"/>
        <v/>
      </c>
    </row>
    <row r="9" spans="1:9">
      <c r="A9" s="52"/>
      <c r="B9" s="57"/>
      <c r="C9" s="54"/>
      <c r="D9" s="55"/>
      <c r="E9" s="56"/>
      <c r="F9" s="56"/>
      <c r="G9" s="6"/>
      <c r="H9" s="7"/>
      <c r="I9" s="8" t="str">
        <f t="shared" si="0"/>
        <v/>
      </c>
    </row>
    <row r="10" spans="1:9">
      <c r="A10" s="52"/>
      <c r="B10" s="57"/>
      <c r="C10" s="54"/>
      <c r="D10" s="55"/>
      <c r="E10" s="56"/>
      <c r="F10" s="56"/>
      <c r="G10" s="6"/>
      <c r="H10" s="7"/>
      <c r="I10" s="8" t="str">
        <f t="shared" si="0"/>
        <v/>
      </c>
    </row>
    <row r="11" spans="1:9">
      <c r="A11" s="52"/>
      <c r="B11" s="57"/>
      <c r="C11" s="54"/>
      <c r="D11" s="55"/>
      <c r="E11" s="56"/>
      <c r="F11" s="56"/>
      <c r="G11" s="6"/>
      <c r="H11" s="7"/>
      <c r="I11" s="8" t="str">
        <f t="shared" si="0"/>
        <v/>
      </c>
    </row>
    <row r="12" spans="1:9">
      <c r="A12" s="52"/>
      <c r="B12" s="57"/>
      <c r="C12" s="54"/>
      <c r="D12" s="55"/>
      <c r="E12" s="56"/>
      <c r="F12" s="56"/>
      <c r="G12" s="6"/>
      <c r="H12" s="7"/>
      <c r="I12" s="8" t="str">
        <f t="shared" si="0"/>
        <v/>
      </c>
    </row>
    <row r="13" spans="1:9">
      <c r="A13" s="52"/>
      <c r="B13" s="57"/>
      <c r="C13" s="54"/>
      <c r="D13" s="55"/>
      <c r="E13" s="56"/>
      <c r="F13" s="56"/>
      <c r="G13" s="6"/>
      <c r="H13" s="7"/>
      <c r="I13" s="8" t="str">
        <f t="shared" si="0"/>
        <v/>
      </c>
    </row>
    <row r="14" spans="1:9">
      <c r="A14" s="52"/>
      <c r="B14" s="57"/>
      <c r="C14" s="54"/>
      <c r="D14" s="55"/>
      <c r="E14" s="56"/>
      <c r="F14" s="56"/>
      <c r="G14" s="6"/>
      <c r="H14" s="7"/>
      <c r="I14" s="8" t="str">
        <f t="shared" si="0"/>
        <v/>
      </c>
    </row>
    <row r="15" spans="1:9">
      <c r="A15" s="52"/>
      <c r="B15" s="57"/>
      <c r="C15" s="54"/>
      <c r="D15" s="55"/>
      <c r="E15" s="56"/>
      <c r="F15" s="56"/>
      <c r="G15" s="6"/>
      <c r="H15" s="7"/>
      <c r="I15" s="8" t="str">
        <f t="shared" si="0"/>
        <v/>
      </c>
    </row>
    <row r="16" spans="1:9">
      <c r="A16" s="52"/>
      <c r="B16" s="57"/>
      <c r="C16" s="54"/>
      <c r="D16" s="55"/>
      <c r="E16" s="56"/>
      <c r="F16" s="56"/>
      <c r="G16" s="6"/>
      <c r="H16" s="7"/>
      <c r="I16" s="8" t="str">
        <f t="shared" si="0"/>
        <v/>
      </c>
    </row>
    <row r="17" spans="1:11">
      <c r="A17" s="52"/>
      <c r="B17" s="57"/>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16</v>
      </c>
      <c r="B19" s="5" t="s">
        <v>17</v>
      </c>
      <c r="C19" s="4" t="s">
        <v>18</v>
      </c>
      <c r="D19" s="16" t="s">
        <v>19</v>
      </c>
      <c r="E19" s="17" t="s">
        <v>20</v>
      </c>
      <c r="F19" s="16" t="s">
        <v>21</v>
      </c>
      <c r="G19" s="49" t="s">
        <v>22</v>
      </c>
      <c r="H19" s="49"/>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50"/>
      <c r="E22" s="50"/>
      <c r="F22" s="30"/>
      <c r="G22" s="31" t="s">
        <v>23</v>
      </c>
      <c r="H22" s="32">
        <f>IF(C20&lt;=25%,D20,MIN(E20:F20))</f>
        <v>757.25</v>
      </c>
    </row>
    <row r="23" spans="1:11">
      <c r="B23" s="25"/>
      <c r="C23" s="25"/>
      <c r="D23" s="50"/>
      <c r="E23" s="50"/>
      <c r="F23" s="33"/>
      <c r="G23" s="4" t="s">
        <v>24</v>
      </c>
      <c r="H23" s="24">
        <f>ROUND(H22,2)*D3</f>
        <v>7572.5</v>
      </c>
    </row>
    <row r="24" spans="1:11">
      <c r="B24" s="29"/>
      <c r="C24" s="29"/>
      <c r="D24" s="18"/>
      <c r="E24" s="18"/>
    </row>
    <row r="26" spans="1:11" ht="12.75" customHeight="1">
      <c r="A26" s="47" t="s">
        <v>25</v>
      </c>
      <c r="B26" s="47"/>
      <c r="C26" s="47"/>
      <c r="D26" s="47"/>
      <c r="E26" s="47"/>
      <c r="F26" s="47"/>
      <c r="G26" s="47"/>
      <c r="H26" s="47"/>
      <c r="I26" s="47"/>
    </row>
    <row r="27" spans="1:11" ht="12.75" customHeight="1">
      <c r="A27" s="47" t="s">
        <v>26</v>
      </c>
      <c r="B27" s="47"/>
      <c r="C27" s="47"/>
      <c r="D27" s="47"/>
      <c r="E27" s="47"/>
      <c r="F27" s="47"/>
      <c r="G27" s="47"/>
      <c r="H27" s="47"/>
      <c r="I27" s="47"/>
    </row>
    <row r="28" spans="1:11" ht="12.75" customHeight="1">
      <c r="A28" s="47" t="s">
        <v>27</v>
      </c>
      <c r="B28" s="47"/>
      <c r="C28" s="47"/>
      <c r="D28" s="47"/>
      <c r="E28" s="47"/>
      <c r="F28" s="47"/>
      <c r="G28" s="47"/>
      <c r="H28" s="47"/>
      <c r="I28" s="47"/>
    </row>
    <row r="29" spans="1:11" ht="12.75" customHeight="1">
      <c r="A29" s="47" t="s">
        <v>28</v>
      </c>
      <c r="B29" s="47"/>
      <c r="C29" s="47"/>
      <c r="D29" s="47"/>
      <c r="E29" s="47"/>
      <c r="F29" s="47"/>
      <c r="G29" s="47"/>
      <c r="H29" s="47"/>
      <c r="I29" s="47"/>
    </row>
    <row r="30" spans="1:11" ht="12.75" customHeight="1">
      <c r="A30" s="47" t="s">
        <v>29</v>
      </c>
      <c r="B30" s="47"/>
      <c r="C30" s="47"/>
      <c r="D30" s="47"/>
      <c r="E30" s="47"/>
      <c r="F30" s="47"/>
      <c r="G30" s="47"/>
      <c r="H30" s="47"/>
      <c r="I30" s="47"/>
    </row>
    <row r="31" spans="1:11" ht="12.75" customHeight="1">
      <c r="A31" s="47" t="s">
        <v>30</v>
      </c>
      <c r="B31" s="47"/>
      <c r="C31" s="47"/>
      <c r="D31" s="47"/>
      <c r="E31" s="47"/>
      <c r="F31" s="47"/>
      <c r="G31" s="47"/>
      <c r="H31" s="47"/>
      <c r="I31" s="47"/>
    </row>
    <row r="32" spans="1:11" ht="24.75" customHeight="1">
      <c r="A32" s="48" t="s">
        <v>31</v>
      </c>
      <c r="B32" s="48"/>
      <c r="C32" s="48"/>
      <c r="D32" s="48"/>
      <c r="E32" s="48"/>
      <c r="F32" s="48"/>
      <c r="G32" s="48"/>
      <c r="H32" s="48"/>
      <c r="I32" s="48"/>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51" t="s">
        <v>0</v>
      </c>
      <c r="B1" s="51"/>
      <c r="C1" s="51"/>
      <c r="D1" s="51"/>
      <c r="E1" s="51"/>
      <c r="F1" s="51"/>
      <c r="G1" s="51"/>
      <c r="H1" s="51"/>
      <c r="I1" s="51"/>
    </row>
    <row r="2" spans="1:9" ht="25.5">
      <c r="A2" s="52" t="s">
        <v>172</v>
      </c>
      <c r="B2" s="2" t="s">
        <v>2</v>
      </c>
      <c r="C2" s="2" t="s">
        <v>3</v>
      </c>
      <c r="D2" s="2" t="s">
        <v>4</v>
      </c>
      <c r="E2" s="3" t="s">
        <v>5</v>
      </c>
      <c r="F2" s="3" t="s">
        <v>6</v>
      </c>
      <c r="G2" s="2" t="s">
        <v>7</v>
      </c>
      <c r="H2" s="4" t="s">
        <v>8</v>
      </c>
      <c r="I2" s="5" t="s">
        <v>9</v>
      </c>
    </row>
    <row r="3" spans="1:9" ht="12.75" customHeight="1">
      <c r="A3" s="52"/>
      <c r="B3" s="57" t="s">
        <v>155</v>
      </c>
      <c r="C3" s="54" t="s">
        <v>41</v>
      </c>
      <c r="D3" s="55">
        <v>10</v>
      </c>
      <c r="E3" s="56">
        <f>IF(C20&lt;=25%,D20,MIN(E20:F20))</f>
        <v>757.25</v>
      </c>
      <c r="F3" s="56">
        <f>MIN(H3:H17)</f>
        <v>697.5</v>
      </c>
      <c r="G3" s="6" t="s">
        <v>156</v>
      </c>
      <c r="H3" s="7">
        <v>697.5</v>
      </c>
      <c r="I3" s="8">
        <f t="shared" ref="I3:I17" si="0">IF(H3="","",(IF($C$20&lt;25%,"N/A",IF(H3&lt;=($D$20+$A$20),H3,"Descartado"))))</f>
        <v>697.5</v>
      </c>
    </row>
    <row r="4" spans="1:9">
      <c r="A4" s="52"/>
      <c r="B4" s="57"/>
      <c r="C4" s="54"/>
      <c r="D4" s="55"/>
      <c r="E4" s="56"/>
      <c r="F4" s="56"/>
      <c r="G4" s="6" t="s">
        <v>157</v>
      </c>
      <c r="H4" s="7">
        <v>817</v>
      </c>
      <c r="I4" s="8">
        <f t="shared" si="0"/>
        <v>817</v>
      </c>
    </row>
    <row r="5" spans="1:9">
      <c r="A5" s="52"/>
      <c r="B5" s="57"/>
      <c r="C5" s="54"/>
      <c r="D5" s="55"/>
      <c r="E5" s="56"/>
      <c r="F5" s="56"/>
      <c r="G5" s="6" t="s">
        <v>158</v>
      </c>
      <c r="H5" s="7">
        <v>1125</v>
      </c>
      <c r="I5" s="8" t="str">
        <f t="shared" si="0"/>
        <v>Descartado</v>
      </c>
    </row>
    <row r="6" spans="1:9">
      <c r="A6" s="52"/>
      <c r="B6" s="57"/>
      <c r="C6" s="54"/>
      <c r="D6" s="55"/>
      <c r="E6" s="56"/>
      <c r="F6" s="56"/>
      <c r="G6" s="6"/>
      <c r="H6" s="7"/>
      <c r="I6" s="8" t="str">
        <f t="shared" si="0"/>
        <v/>
      </c>
    </row>
    <row r="7" spans="1:9">
      <c r="A7" s="52"/>
      <c r="B7" s="57"/>
      <c r="C7" s="54"/>
      <c r="D7" s="55"/>
      <c r="E7" s="56"/>
      <c r="F7" s="56"/>
      <c r="G7" s="6"/>
      <c r="H7" s="7"/>
      <c r="I7" s="8" t="str">
        <f t="shared" si="0"/>
        <v/>
      </c>
    </row>
    <row r="8" spans="1:9">
      <c r="A8" s="52"/>
      <c r="B8" s="57"/>
      <c r="C8" s="54"/>
      <c r="D8" s="55"/>
      <c r="E8" s="56"/>
      <c r="F8" s="56"/>
      <c r="G8" s="6"/>
      <c r="H8" s="7"/>
      <c r="I8" s="8" t="str">
        <f t="shared" si="0"/>
        <v/>
      </c>
    </row>
    <row r="9" spans="1:9">
      <c r="A9" s="52"/>
      <c r="B9" s="57"/>
      <c r="C9" s="54"/>
      <c r="D9" s="55"/>
      <c r="E9" s="56"/>
      <c r="F9" s="56"/>
      <c r="G9" s="6"/>
      <c r="H9" s="7"/>
      <c r="I9" s="8" t="str">
        <f t="shared" si="0"/>
        <v/>
      </c>
    </row>
    <row r="10" spans="1:9">
      <c r="A10" s="52"/>
      <c r="B10" s="57"/>
      <c r="C10" s="54"/>
      <c r="D10" s="55"/>
      <c r="E10" s="56"/>
      <c r="F10" s="56"/>
      <c r="G10" s="6"/>
      <c r="H10" s="7"/>
      <c r="I10" s="8" t="str">
        <f t="shared" si="0"/>
        <v/>
      </c>
    </row>
    <row r="11" spans="1:9">
      <c r="A11" s="52"/>
      <c r="B11" s="57"/>
      <c r="C11" s="54"/>
      <c r="D11" s="55"/>
      <c r="E11" s="56"/>
      <c r="F11" s="56"/>
      <c r="G11" s="6"/>
      <c r="H11" s="7"/>
      <c r="I11" s="8" t="str">
        <f t="shared" si="0"/>
        <v/>
      </c>
    </row>
    <row r="12" spans="1:9">
      <c r="A12" s="52"/>
      <c r="B12" s="57"/>
      <c r="C12" s="54"/>
      <c r="D12" s="55"/>
      <c r="E12" s="56"/>
      <c r="F12" s="56"/>
      <c r="G12" s="6"/>
      <c r="H12" s="7"/>
      <c r="I12" s="8" t="str">
        <f t="shared" si="0"/>
        <v/>
      </c>
    </row>
    <row r="13" spans="1:9">
      <c r="A13" s="52"/>
      <c r="B13" s="57"/>
      <c r="C13" s="54"/>
      <c r="D13" s="55"/>
      <c r="E13" s="56"/>
      <c r="F13" s="56"/>
      <c r="G13" s="6"/>
      <c r="H13" s="7"/>
      <c r="I13" s="8" t="str">
        <f t="shared" si="0"/>
        <v/>
      </c>
    </row>
    <row r="14" spans="1:9">
      <c r="A14" s="52"/>
      <c r="B14" s="57"/>
      <c r="C14" s="54"/>
      <c r="D14" s="55"/>
      <c r="E14" s="56"/>
      <c r="F14" s="56"/>
      <c r="G14" s="6"/>
      <c r="H14" s="7"/>
      <c r="I14" s="8" t="str">
        <f t="shared" si="0"/>
        <v/>
      </c>
    </row>
    <row r="15" spans="1:9">
      <c r="A15" s="52"/>
      <c r="B15" s="57"/>
      <c r="C15" s="54"/>
      <c r="D15" s="55"/>
      <c r="E15" s="56"/>
      <c r="F15" s="56"/>
      <c r="G15" s="6"/>
      <c r="H15" s="7"/>
      <c r="I15" s="8" t="str">
        <f t="shared" si="0"/>
        <v/>
      </c>
    </row>
    <row r="16" spans="1:9">
      <c r="A16" s="52"/>
      <c r="B16" s="57"/>
      <c r="C16" s="54"/>
      <c r="D16" s="55"/>
      <c r="E16" s="56"/>
      <c r="F16" s="56"/>
      <c r="G16" s="6"/>
      <c r="H16" s="7"/>
      <c r="I16" s="8" t="str">
        <f t="shared" si="0"/>
        <v/>
      </c>
    </row>
    <row r="17" spans="1:11">
      <c r="A17" s="52"/>
      <c r="B17" s="57"/>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16</v>
      </c>
      <c r="B19" s="5" t="s">
        <v>17</v>
      </c>
      <c r="C19" s="4" t="s">
        <v>18</v>
      </c>
      <c r="D19" s="16" t="s">
        <v>19</v>
      </c>
      <c r="E19" s="17" t="s">
        <v>20</v>
      </c>
      <c r="F19" s="16" t="s">
        <v>21</v>
      </c>
      <c r="G19" s="49" t="s">
        <v>22</v>
      </c>
      <c r="H19" s="49"/>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50"/>
      <c r="E22" s="50"/>
      <c r="F22" s="30"/>
      <c r="G22" s="31" t="s">
        <v>23</v>
      </c>
      <c r="H22" s="32">
        <f>IF(C20&lt;=25%,D20,MIN(E20:F20))</f>
        <v>757.25</v>
      </c>
    </row>
    <row r="23" spans="1:11">
      <c r="B23" s="25"/>
      <c r="C23" s="25"/>
      <c r="D23" s="50"/>
      <c r="E23" s="50"/>
      <c r="F23" s="33"/>
      <c r="G23" s="4" t="s">
        <v>24</v>
      </c>
      <c r="H23" s="24">
        <f>ROUND(H22,2)*D3</f>
        <v>7572.5</v>
      </c>
    </row>
    <row r="24" spans="1:11">
      <c r="B24" s="29"/>
      <c r="C24" s="29"/>
      <c r="D24" s="18"/>
      <c r="E24" s="18"/>
    </row>
    <row r="26" spans="1:11" ht="12.75" customHeight="1">
      <c r="A26" s="47" t="s">
        <v>25</v>
      </c>
      <c r="B26" s="47"/>
      <c r="C26" s="47"/>
      <c r="D26" s="47"/>
      <c r="E26" s="47"/>
      <c r="F26" s="47"/>
      <c r="G26" s="47"/>
      <c r="H26" s="47"/>
      <c r="I26" s="47"/>
    </row>
    <row r="27" spans="1:11" ht="12.75" customHeight="1">
      <c r="A27" s="47" t="s">
        <v>26</v>
      </c>
      <c r="B27" s="47"/>
      <c r="C27" s="47"/>
      <c r="D27" s="47"/>
      <c r="E27" s="47"/>
      <c r="F27" s="47"/>
      <c r="G27" s="47"/>
      <c r="H27" s="47"/>
      <c r="I27" s="47"/>
    </row>
    <row r="28" spans="1:11" ht="12.75" customHeight="1">
      <c r="A28" s="47" t="s">
        <v>27</v>
      </c>
      <c r="B28" s="47"/>
      <c r="C28" s="47"/>
      <c r="D28" s="47"/>
      <c r="E28" s="47"/>
      <c r="F28" s="47"/>
      <c r="G28" s="47"/>
      <c r="H28" s="47"/>
      <c r="I28" s="47"/>
    </row>
    <row r="29" spans="1:11" ht="12.75" customHeight="1">
      <c r="A29" s="47" t="s">
        <v>28</v>
      </c>
      <c r="B29" s="47"/>
      <c r="C29" s="47"/>
      <c r="D29" s="47"/>
      <c r="E29" s="47"/>
      <c r="F29" s="47"/>
      <c r="G29" s="47"/>
      <c r="H29" s="47"/>
      <c r="I29" s="47"/>
    </row>
    <row r="30" spans="1:11" ht="12.75" customHeight="1">
      <c r="A30" s="47" t="s">
        <v>29</v>
      </c>
      <c r="B30" s="47"/>
      <c r="C30" s="47"/>
      <c r="D30" s="47"/>
      <c r="E30" s="47"/>
      <c r="F30" s="47"/>
      <c r="G30" s="47"/>
      <c r="H30" s="47"/>
      <c r="I30" s="47"/>
    </row>
    <row r="31" spans="1:11" ht="12.75" customHeight="1">
      <c r="A31" s="47" t="s">
        <v>30</v>
      </c>
      <c r="B31" s="47"/>
      <c r="C31" s="47"/>
      <c r="D31" s="47"/>
      <c r="E31" s="47"/>
      <c r="F31" s="47"/>
      <c r="G31" s="47"/>
      <c r="H31" s="47"/>
      <c r="I31" s="47"/>
    </row>
    <row r="32" spans="1:11" ht="24.75" customHeight="1">
      <c r="A32" s="48" t="s">
        <v>31</v>
      </c>
      <c r="B32" s="48"/>
      <c r="C32" s="48"/>
      <c r="D32" s="48"/>
      <c r="E32" s="48"/>
      <c r="F32" s="48"/>
      <c r="G32" s="48"/>
      <c r="H32" s="48"/>
      <c r="I32" s="48"/>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H8" sqref="H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51" t="s">
        <v>0</v>
      </c>
      <c r="B1" s="51"/>
      <c r="C1" s="51"/>
      <c r="D1" s="51"/>
      <c r="E1" s="51"/>
      <c r="F1" s="51"/>
      <c r="G1" s="51"/>
      <c r="H1" s="51"/>
      <c r="I1" s="51"/>
    </row>
    <row r="2" spans="1:9" ht="25.5">
      <c r="A2" s="52" t="s">
        <v>47</v>
      </c>
      <c r="B2" s="2" t="s">
        <v>2</v>
      </c>
      <c r="C2" s="2" t="s">
        <v>3</v>
      </c>
      <c r="D2" s="2" t="s">
        <v>4</v>
      </c>
      <c r="E2" s="3" t="s">
        <v>5</v>
      </c>
      <c r="F2" s="3" t="s">
        <v>6</v>
      </c>
      <c r="G2" s="2" t="s">
        <v>7</v>
      </c>
      <c r="H2" s="4" t="s">
        <v>8</v>
      </c>
      <c r="I2" s="5" t="s">
        <v>9</v>
      </c>
    </row>
    <row r="3" spans="1:9" ht="12.75" customHeight="1">
      <c r="A3" s="52"/>
      <c r="B3" s="57" t="s">
        <v>48</v>
      </c>
      <c r="C3" s="54" t="s">
        <v>49</v>
      </c>
      <c r="D3" s="55">
        <v>1500</v>
      </c>
      <c r="E3" s="56">
        <f>IF(C20&lt;=25%,D20,MIN(E20:F20))</f>
        <v>43.05</v>
      </c>
      <c r="F3" s="56">
        <f>MIN(H3:H17)</f>
        <v>11.871257229999999</v>
      </c>
      <c r="G3" s="6" t="s">
        <v>50</v>
      </c>
      <c r="H3" s="7">
        <f>11.09*1.070447</f>
        <v>11.871257229999999</v>
      </c>
      <c r="I3" s="8">
        <f t="shared" ref="I3:I17" si="0">IF(H3="","",(IF($C$20&lt;25%,"N/A",IF(H3&lt;=($D$20+$A$20),H3,"Descartado"))))</f>
        <v>11.871257229999999</v>
      </c>
    </row>
    <row r="4" spans="1:9">
      <c r="A4" s="52"/>
      <c r="B4" s="57"/>
      <c r="C4" s="54"/>
      <c r="D4" s="55"/>
      <c r="E4" s="56"/>
      <c r="F4" s="56"/>
      <c r="G4" s="6" t="s">
        <v>51</v>
      </c>
      <c r="H4" s="7">
        <f>40.84*1.070447</f>
        <v>43.717055479999999</v>
      </c>
      <c r="I4" s="8">
        <f t="shared" si="0"/>
        <v>43.717055479999999</v>
      </c>
    </row>
    <row r="5" spans="1:9">
      <c r="A5" s="52"/>
      <c r="B5" s="57"/>
      <c r="C5" s="54"/>
      <c r="D5" s="55"/>
      <c r="E5" s="56"/>
      <c r="F5" s="56"/>
      <c r="G5" s="6" t="s">
        <v>52</v>
      </c>
      <c r="H5" s="7">
        <f>60*1.070447</f>
        <v>64.226819999999989</v>
      </c>
      <c r="I5" s="8">
        <f t="shared" si="0"/>
        <v>64.226819999999989</v>
      </c>
    </row>
    <row r="6" spans="1:9">
      <c r="A6" s="52"/>
      <c r="B6" s="57"/>
      <c r="C6" s="54"/>
      <c r="D6" s="55"/>
      <c r="E6" s="56"/>
      <c r="F6" s="56"/>
      <c r="G6" s="6" t="s">
        <v>53</v>
      </c>
      <c r="H6" s="7">
        <f>79.8*1.070447</f>
        <v>85.421670599999985</v>
      </c>
      <c r="I6" s="8" t="str">
        <f t="shared" si="0"/>
        <v>Descartado</v>
      </c>
    </row>
    <row r="7" spans="1:9">
      <c r="A7" s="52"/>
      <c r="B7" s="57"/>
      <c r="C7" s="54"/>
      <c r="D7" s="55"/>
      <c r="E7" s="56"/>
      <c r="F7" s="56"/>
      <c r="G7" s="6" t="s">
        <v>54</v>
      </c>
      <c r="H7" s="7">
        <f>48.95*1.070447</f>
        <v>52.39838065</v>
      </c>
      <c r="I7" s="8">
        <f t="shared" si="0"/>
        <v>52.39838065</v>
      </c>
    </row>
    <row r="8" spans="1:9">
      <c r="A8" s="52"/>
      <c r="B8" s="57"/>
      <c r="C8" s="54"/>
      <c r="D8" s="55"/>
      <c r="E8" s="56"/>
      <c r="F8" s="56"/>
      <c r="G8" s="6"/>
      <c r="H8" s="7"/>
      <c r="I8" s="8" t="str">
        <f t="shared" si="0"/>
        <v/>
      </c>
    </row>
    <row r="9" spans="1:9">
      <c r="A9" s="52"/>
      <c r="B9" s="57"/>
      <c r="C9" s="54"/>
      <c r="D9" s="55"/>
      <c r="E9" s="56"/>
      <c r="F9" s="56"/>
      <c r="G9" s="6"/>
      <c r="H9" s="7"/>
      <c r="I9" s="8" t="str">
        <f t="shared" si="0"/>
        <v/>
      </c>
    </row>
    <row r="10" spans="1:9">
      <c r="A10" s="52"/>
      <c r="B10" s="57"/>
      <c r="C10" s="54"/>
      <c r="D10" s="55"/>
      <c r="E10" s="56"/>
      <c r="F10" s="56"/>
      <c r="G10" s="6"/>
      <c r="H10" s="7"/>
      <c r="I10" s="8" t="str">
        <f t="shared" si="0"/>
        <v/>
      </c>
    </row>
    <row r="11" spans="1:9">
      <c r="A11" s="52"/>
      <c r="B11" s="57"/>
      <c r="C11" s="54"/>
      <c r="D11" s="55"/>
      <c r="E11" s="56"/>
      <c r="F11" s="56"/>
      <c r="G11" s="6"/>
      <c r="H11" s="7"/>
      <c r="I11" s="8" t="str">
        <f t="shared" si="0"/>
        <v/>
      </c>
    </row>
    <row r="12" spans="1:9">
      <c r="A12" s="52"/>
      <c r="B12" s="57"/>
      <c r="C12" s="54"/>
      <c r="D12" s="55"/>
      <c r="E12" s="56"/>
      <c r="F12" s="56"/>
      <c r="G12" s="6"/>
      <c r="H12" s="7"/>
      <c r="I12" s="8" t="str">
        <f t="shared" si="0"/>
        <v/>
      </c>
    </row>
    <row r="13" spans="1:9">
      <c r="A13" s="52"/>
      <c r="B13" s="57"/>
      <c r="C13" s="54"/>
      <c r="D13" s="55"/>
      <c r="E13" s="56"/>
      <c r="F13" s="56"/>
      <c r="G13" s="6"/>
      <c r="H13" s="7"/>
      <c r="I13" s="8" t="str">
        <f t="shared" si="0"/>
        <v/>
      </c>
    </row>
    <row r="14" spans="1:9">
      <c r="A14" s="52"/>
      <c r="B14" s="57"/>
      <c r="C14" s="54"/>
      <c r="D14" s="55"/>
      <c r="E14" s="56"/>
      <c r="F14" s="56"/>
      <c r="G14" s="6"/>
      <c r="H14" s="7"/>
      <c r="I14" s="8" t="str">
        <f t="shared" si="0"/>
        <v/>
      </c>
    </row>
    <row r="15" spans="1:9">
      <c r="A15" s="52"/>
      <c r="B15" s="57"/>
      <c r="C15" s="54"/>
      <c r="D15" s="55"/>
      <c r="E15" s="56"/>
      <c r="F15" s="56"/>
      <c r="G15" s="6"/>
      <c r="H15" s="7"/>
      <c r="I15" s="8" t="str">
        <f t="shared" si="0"/>
        <v/>
      </c>
    </row>
    <row r="16" spans="1:9">
      <c r="A16" s="52"/>
      <c r="B16" s="57"/>
      <c r="C16" s="54"/>
      <c r="D16" s="55"/>
      <c r="E16" s="56"/>
      <c r="F16" s="56"/>
      <c r="G16" s="6"/>
      <c r="H16" s="7"/>
      <c r="I16" s="8" t="str">
        <f t="shared" si="0"/>
        <v/>
      </c>
    </row>
    <row r="17" spans="1:11">
      <c r="A17" s="52"/>
      <c r="B17" s="57"/>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16</v>
      </c>
      <c r="B19" s="5" t="s">
        <v>17</v>
      </c>
      <c r="C19" s="4" t="s">
        <v>18</v>
      </c>
      <c r="D19" s="16" t="s">
        <v>19</v>
      </c>
      <c r="E19" s="17" t="s">
        <v>20</v>
      </c>
      <c r="F19" s="16" t="s">
        <v>21</v>
      </c>
      <c r="G19" s="49" t="s">
        <v>22</v>
      </c>
      <c r="H19" s="49"/>
      <c r="I19" s="18"/>
    </row>
    <row r="20" spans="1:11">
      <c r="A20" s="19">
        <f>IF(B20&lt;2,"N/A",(STDEV(H3:H17)))</f>
        <v>27.131469714112516</v>
      </c>
      <c r="B20" s="19">
        <f>COUNT(H3:H17)</f>
        <v>5</v>
      </c>
      <c r="C20" s="20">
        <f>IF(B20&lt;2,"N/A",(A20/D20))</f>
        <v>0.52651794516034378</v>
      </c>
      <c r="D20" s="21">
        <f>ROUND(AVERAGE(H3:H17),2)</f>
        <v>51.53</v>
      </c>
      <c r="E20" s="22">
        <f>IFERROR(ROUND(IF(B20&lt;2,"N/A",(IF(C20&lt;=25%,"N/A",AVERAGE(I3:I17)))),2),"N/A")</f>
        <v>43.05</v>
      </c>
      <c r="F20" s="22">
        <f>ROUND(MEDIAN(H3:H17),2)</f>
        <v>52.4</v>
      </c>
      <c r="G20" s="23" t="str">
        <f>INDEX(G3:G17,MATCH(H20,H3:H17,0))</f>
        <v>J. R. COMERCIO E LOCACAO DE VEICULOS EIRELI</v>
      </c>
      <c r="H20" s="24">
        <f>MIN(H3:H17)</f>
        <v>11.871257229999999</v>
      </c>
      <c r="I20" s="18"/>
    </row>
    <row r="21" spans="1:11">
      <c r="A21" s="25"/>
      <c r="B21" s="18"/>
      <c r="C21" s="26"/>
      <c r="D21" s="26"/>
      <c r="E21" s="26"/>
      <c r="F21" s="26"/>
      <c r="G21" s="18"/>
      <c r="H21" s="27"/>
      <c r="I21" s="28"/>
      <c r="J21" s="28"/>
      <c r="K21" s="28"/>
    </row>
    <row r="22" spans="1:11">
      <c r="B22" s="25"/>
      <c r="C22" s="25"/>
      <c r="D22" s="50"/>
      <c r="E22" s="50"/>
      <c r="F22" s="30"/>
      <c r="G22" s="31" t="s">
        <v>23</v>
      </c>
      <c r="H22" s="32">
        <f>IF(C20&lt;=25%,D20,MIN(E20:F20))</f>
        <v>43.05</v>
      </c>
    </row>
    <row r="23" spans="1:11">
      <c r="B23" s="25"/>
      <c r="C23" s="25"/>
      <c r="D23" s="50"/>
      <c r="E23" s="50"/>
      <c r="F23" s="33"/>
      <c r="G23" s="4" t="s">
        <v>24</v>
      </c>
      <c r="H23" s="24">
        <f>ROUND(H22,2)*D3</f>
        <v>64574.999999999993</v>
      </c>
    </row>
    <row r="24" spans="1:11">
      <c r="B24" s="29"/>
      <c r="C24" s="29"/>
      <c r="D24" s="18"/>
      <c r="E24" s="18"/>
    </row>
    <row r="26" spans="1:11" ht="12.75" customHeight="1">
      <c r="A26" s="47" t="s">
        <v>25</v>
      </c>
      <c r="B26" s="47"/>
      <c r="C26" s="47"/>
      <c r="D26" s="47"/>
      <c r="E26" s="47"/>
      <c r="F26" s="47"/>
      <c r="G26" s="47"/>
      <c r="H26" s="47"/>
      <c r="I26" s="47"/>
    </row>
    <row r="27" spans="1:11" ht="12.75" customHeight="1">
      <c r="A27" s="47" t="s">
        <v>26</v>
      </c>
      <c r="B27" s="47"/>
      <c r="C27" s="47"/>
      <c r="D27" s="47"/>
      <c r="E27" s="47"/>
      <c r="F27" s="47"/>
      <c r="G27" s="47"/>
      <c r="H27" s="47"/>
      <c r="I27" s="47"/>
    </row>
    <row r="28" spans="1:11" ht="12.75" customHeight="1">
      <c r="A28" s="47" t="s">
        <v>27</v>
      </c>
      <c r="B28" s="47"/>
      <c r="C28" s="47"/>
      <c r="D28" s="47"/>
      <c r="E28" s="47"/>
      <c r="F28" s="47"/>
      <c r="G28" s="47"/>
      <c r="H28" s="47"/>
      <c r="I28" s="47"/>
    </row>
    <row r="29" spans="1:11" ht="12.75" customHeight="1">
      <c r="A29" s="47" t="s">
        <v>28</v>
      </c>
      <c r="B29" s="47"/>
      <c r="C29" s="47"/>
      <c r="D29" s="47"/>
      <c r="E29" s="47"/>
      <c r="F29" s="47"/>
      <c r="G29" s="47"/>
      <c r="H29" s="47"/>
      <c r="I29" s="47"/>
    </row>
    <row r="30" spans="1:11" ht="12.75" customHeight="1">
      <c r="A30" s="47" t="s">
        <v>29</v>
      </c>
      <c r="B30" s="47"/>
      <c r="C30" s="47"/>
      <c r="D30" s="47"/>
      <c r="E30" s="47"/>
      <c r="F30" s="47"/>
      <c r="G30" s="47"/>
      <c r="H30" s="47"/>
      <c r="I30" s="47"/>
    </row>
    <row r="31" spans="1:11" ht="12.75" customHeight="1">
      <c r="A31" s="47" t="s">
        <v>30</v>
      </c>
      <c r="B31" s="47"/>
      <c r="C31" s="47"/>
      <c r="D31" s="47"/>
      <c r="E31" s="47"/>
      <c r="F31" s="47"/>
      <c r="G31" s="47"/>
      <c r="H31" s="47"/>
      <c r="I31" s="47"/>
    </row>
    <row r="32" spans="1:11" ht="24.75" customHeight="1">
      <c r="A32" s="48" t="s">
        <v>31</v>
      </c>
      <c r="B32" s="48"/>
      <c r="C32" s="48"/>
      <c r="D32" s="48"/>
      <c r="E32" s="48"/>
      <c r="F32" s="48"/>
      <c r="G32" s="48"/>
      <c r="H32" s="48"/>
      <c r="I32" s="48"/>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51" t="s">
        <v>0</v>
      </c>
      <c r="B1" s="51"/>
      <c r="C1" s="51"/>
      <c r="D1" s="51"/>
      <c r="E1" s="51"/>
      <c r="F1" s="51"/>
      <c r="G1" s="51"/>
      <c r="H1" s="51"/>
      <c r="I1" s="51"/>
    </row>
    <row r="2" spans="1:9" ht="25.5">
      <c r="A2" s="52" t="s">
        <v>173</v>
      </c>
      <c r="B2" s="2" t="s">
        <v>2</v>
      </c>
      <c r="C2" s="2" t="s">
        <v>3</v>
      </c>
      <c r="D2" s="2" t="s">
        <v>4</v>
      </c>
      <c r="E2" s="3" t="s">
        <v>5</v>
      </c>
      <c r="F2" s="3" t="s">
        <v>6</v>
      </c>
      <c r="G2" s="2" t="s">
        <v>7</v>
      </c>
      <c r="H2" s="4" t="s">
        <v>8</v>
      </c>
      <c r="I2" s="5" t="s">
        <v>9</v>
      </c>
    </row>
    <row r="3" spans="1:9" ht="12.75" customHeight="1">
      <c r="A3" s="52"/>
      <c r="B3" s="57" t="s">
        <v>155</v>
      </c>
      <c r="C3" s="54" t="s">
        <v>41</v>
      </c>
      <c r="D3" s="55">
        <v>10</v>
      </c>
      <c r="E3" s="56">
        <f>IF(C20&lt;=25%,D20,MIN(E20:F20))</f>
        <v>757.25</v>
      </c>
      <c r="F3" s="56">
        <f>MIN(H3:H17)</f>
        <v>697.5</v>
      </c>
      <c r="G3" s="6" t="s">
        <v>156</v>
      </c>
      <c r="H3" s="7">
        <v>697.5</v>
      </c>
      <c r="I3" s="8">
        <f t="shared" ref="I3:I17" si="0">IF(H3="","",(IF($C$20&lt;25%,"N/A",IF(H3&lt;=($D$20+$A$20),H3,"Descartado"))))</f>
        <v>697.5</v>
      </c>
    </row>
    <row r="4" spans="1:9">
      <c r="A4" s="52"/>
      <c r="B4" s="57"/>
      <c r="C4" s="54"/>
      <c r="D4" s="55"/>
      <c r="E4" s="56"/>
      <c r="F4" s="56"/>
      <c r="G4" s="6" t="s">
        <v>157</v>
      </c>
      <c r="H4" s="7">
        <v>817</v>
      </c>
      <c r="I4" s="8">
        <f t="shared" si="0"/>
        <v>817</v>
      </c>
    </row>
    <row r="5" spans="1:9">
      <c r="A5" s="52"/>
      <c r="B5" s="57"/>
      <c r="C5" s="54"/>
      <c r="D5" s="55"/>
      <c r="E5" s="56"/>
      <c r="F5" s="56"/>
      <c r="G5" s="6" t="s">
        <v>158</v>
      </c>
      <c r="H5" s="7">
        <v>1125</v>
      </c>
      <c r="I5" s="8" t="str">
        <f t="shared" si="0"/>
        <v>Descartado</v>
      </c>
    </row>
    <row r="6" spans="1:9">
      <c r="A6" s="52"/>
      <c r="B6" s="57"/>
      <c r="C6" s="54"/>
      <c r="D6" s="55"/>
      <c r="E6" s="56"/>
      <c r="F6" s="56"/>
      <c r="G6" s="6"/>
      <c r="H6" s="7"/>
      <c r="I6" s="8" t="str">
        <f t="shared" si="0"/>
        <v/>
      </c>
    </row>
    <row r="7" spans="1:9">
      <c r="A7" s="52"/>
      <c r="B7" s="57"/>
      <c r="C7" s="54"/>
      <c r="D7" s="55"/>
      <c r="E7" s="56"/>
      <c r="F7" s="56"/>
      <c r="G7" s="6"/>
      <c r="H7" s="7"/>
      <c r="I7" s="8" t="str">
        <f t="shared" si="0"/>
        <v/>
      </c>
    </row>
    <row r="8" spans="1:9">
      <c r="A8" s="52"/>
      <c r="B8" s="57"/>
      <c r="C8" s="54"/>
      <c r="D8" s="55"/>
      <c r="E8" s="56"/>
      <c r="F8" s="56"/>
      <c r="G8" s="6"/>
      <c r="H8" s="7"/>
      <c r="I8" s="8" t="str">
        <f t="shared" si="0"/>
        <v/>
      </c>
    </row>
    <row r="9" spans="1:9">
      <c r="A9" s="52"/>
      <c r="B9" s="57"/>
      <c r="C9" s="54"/>
      <c r="D9" s="55"/>
      <c r="E9" s="56"/>
      <c r="F9" s="56"/>
      <c r="G9" s="6"/>
      <c r="H9" s="7"/>
      <c r="I9" s="8" t="str">
        <f t="shared" si="0"/>
        <v/>
      </c>
    </row>
    <row r="10" spans="1:9">
      <c r="A10" s="52"/>
      <c r="B10" s="57"/>
      <c r="C10" s="54"/>
      <c r="D10" s="55"/>
      <c r="E10" s="56"/>
      <c r="F10" s="56"/>
      <c r="G10" s="6"/>
      <c r="H10" s="7"/>
      <c r="I10" s="8" t="str">
        <f t="shared" si="0"/>
        <v/>
      </c>
    </row>
    <row r="11" spans="1:9">
      <c r="A11" s="52"/>
      <c r="B11" s="57"/>
      <c r="C11" s="54"/>
      <c r="D11" s="55"/>
      <c r="E11" s="56"/>
      <c r="F11" s="56"/>
      <c r="G11" s="6"/>
      <c r="H11" s="7"/>
      <c r="I11" s="8" t="str">
        <f t="shared" si="0"/>
        <v/>
      </c>
    </row>
    <row r="12" spans="1:9">
      <c r="A12" s="52"/>
      <c r="B12" s="57"/>
      <c r="C12" s="54"/>
      <c r="D12" s="55"/>
      <c r="E12" s="56"/>
      <c r="F12" s="56"/>
      <c r="G12" s="6"/>
      <c r="H12" s="7"/>
      <c r="I12" s="8" t="str">
        <f t="shared" si="0"/>
        <v/>
      </c>
    </row>
    <row r="13" spans="1:9">
      <c r="A13" s="52"/>
      <c r="B13" s="57"/>
      <c r="C13" s="54"/>
      <c r="D13" s="55"/>
      <c r="E13" s="56"/>
      <c r="F13" s="56"/>
      <c r="G13" s="6"/>
      <c r="H13" s="7"/>
      <c r="I13" s="8" t="str">
        <f t="shared" si="0"/>
        <v/>
      </c>
    </row>
    <row r="14" spans="1:9">
      <c r="A14" s="52"/>
      <c r="B14" s="57"/>
      <c r="C14" s="54"/>
      <c r="D14" s="55"/>
      <c r="E14" s="56"/>
      <c r="F14" s="56"/>
      <c r="G14" s="6"/>
      <c r="H14" s="7"/>
      <c r="I14" s="8" t="str">
        <f t="shared" si="0"/>
        <v/>
      </c>
    </row>
    <row r="15" spans="1:9">
      <c r="A15" s="52"/>
      <c r="B15" s="57"/>
      <c r="C15" s="54"/>
      <c r="D15" s="55"/>
      <c r="E15" s="56"/>
      <c r="F15" s="56"/>
      <c r="G15" s="6"/>
      <c r="H15" s="7"/>
      <c r="I15" s="8" t="str">
        <f t="shared" si="0"/>
        <v/>
      </c>
    </row>
    <row r="16" spans="1:9">
      <c r="A16" s="52"/>
      <c r="B16" s="57"/>
      <c r="C16" s="54"/>
      <c r="D16" s="55"/>
      <c r="E16" s="56"/>
      <c r="F16" s="56"/>
      <c r="G16" s="6"/>
      <c r="H16" s="7"/>
      <c r="I16" s="8" t="str">
        <f t="shared" si="0"/>
        <v/>
      </c>
    </row>
    <row r="17" spans="1:11">
      <c r="A17" s="52"/>
      <c r="B17" s="57"/>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16</v>
      </c>
      <c r="B19" s="5" t="s">
        <v>17</v>
      </c>
      <c r="C19" s="4" t="s">
        <v>18</v>
      </c>
      <c r="D19" s="16" t="s">
        <v>19</v>
      </c>
      <c r="E19" s="17" t="s">
        <v>20</v>
      </c>
      <c r="F19" s="16" t="s">
        <v>21</v>
      </c>
      <c r="G19" s="49" t="s">
        <v>22</v>
      </c>
      <c r="H19" s="49"/>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50"/>
      <c r="E22" s="50"/>
      <c r="F22" s="30"/>
      <c r="G22" s="31" t="s">
        <v>23</v>
      </c>
      <c r="H22" s="32">
        <f>IF(C20&lt;=25%,D20,MIN(E20:F20))</f>
        <v>757.25</v>
      </c>
    </row>
    <row r="23" spans="1:11">
      <c r="B23" s="25"/>
      <c r="C23" s="25"/>
      <c r="D23" s="50"/>
      <c r="E23" s="50"/>
      <c r="F23" s="33"/>
      <c r="G23" s="4" t="s">
        <v>24</v>
      </c>
      <c r="H23" s="24">
        <f>ROUND(H22,2)*D3</f>
        <v>7572.5</v>
      </c>
    </row>
    <row r="24" spans="1:11">
      <c r="B24" s="29"/>
      <c r="C24" s="29"/>
      <c r="D24" s="18"/>
      <c r="E24" s="18"/>
    </row>
    <row r="26" spans="1:11" ht="12.75" customHeight="1">
      <c r="A26" s="47" t="s">
        <v>25</v>
      </c>
      <c r="B26" s="47"/>
      <c r="C26" s="47"/>
      <c r="D26" s="47"/>
      <c r="E26" s="47"/>
      <c r="F26" s="47"/>
      <c r="G26" s="47"/>
      <c r="H26" s="47"/>
      <c r="I26" s="47"/>
    </row>
    <row r="27" spans="1:11" ht="12.75" customHeight="1">
      <c r="A27" s="47" t="s">
        <v>26</v>
      </c>
      <c r="B27" s="47"/>
      <c r="C27" s="47"/>
      <c r="D27" s="47"/>
      <c r="E27" s="47"/>
      <c r="F27" s="47"/>
      <c r="G27" s="47"/>
      <c r="H27" s="47"/>
      <c r="I27" s="47"/>
    </row>
    <row r="28" spans="1:11" ht="12.75" customHeight="1">
      <c r="A28" s="47" t="s">
        <v>27</v>
      </c>
      <c r="B28" s="47"/>
      <c r="C28" s="47"/>
      <c r="D28" s="47"/>
      <c r="E28" s="47"/>
      <c r="F28" s="47"/>
      <c r="G28" s="47"/>
      <c r="H28" s="47"/>
      <c r="I28" s="47"/>
    </row>
    <row r="29" spans="1:11" ht="12.75" customHeight="1">
      <c r="A29" s="47" t="s">
        <v>28</v>
      </c>
      <c r="B29" s="47"/>
      <c r="C29" s="47"/>
      <c r="D29" s="47"/>
      <c r="E29" s="47"/>
      <c r="F29" s="47"/>
      <c r="G29" s="47"/>
      <c r="H29" s="47"/>
      <c r="I29" s="47"/>
    </row>
    <row r="30" spans="1:11" ht="12.75" customHeight="1">
      <c r="A30" s="47" t="s">
        <v>29</v>
      </c>
      <c r="B30" s="47"/>
      <c r="C30" s="47"/>
      <c r="D30" s="47"/>
      <c r="E30" s="47"/>
      <c r="F30" s="47"/>
      <c r="G30" s="47"/>
      <c r="H30" s="47"/>
      <c r="I30" s="47"/>
    </row>
    <row r="31" spans="1:11" ht="12.75" customHeight="1">
      <c r="A31" s="47" t="s">
        <v>30</v>
      </c>
      <c r="B31" s="47"/>
      <c r="C31" s="47"/>
      <c r="D31" s="47"/>
      <c r="E31" s="47"/>
      <c r="F31" s="47"/>
      <c r="G31" s="47"/>
      <c r="H31" s="47"/>
      <c r="I31" s="47"/>
    </row>
    <row r="32" spans="1:11" ht="24.75" customHeight="1">
      <c r="A32" s="48" t="s">
        <v>31</v>
      </c>
      <c r="B32" s="48"/>
      <c r="C32" s="48"/>
      <c r="D32" s="48"/>
      <c r="E32" s="48"/>
      <c r="F32" s="48"/>
      <c r="G32" s="48"/>
      <c r="H32" s="48"/>
      <c r="I32" s="48"/>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51" t="s">
        <v>0</v>
      </c>
      <c r="B1" s="51"/>
      <c r="C1" s="51"/>
      <c r="D1" s="51"/>
      <c r="E1" s="51"/>
      <c r="F1" s="51"/>
      <c r="G1" s="51"/>
      <c r="H1" s="51"/>
      <c r="I1" s="51"/>
    </row>
    <row r="2" spans="1:9" ht="25.5">
      <c r="A2" s="52" t="s">
        <v>174</v>
      </c>
      <c r="B2" s="2" t="s">
        <v>2</v>
      </c>
      <c r="C2" s="2" t="s">
        <v>3</v>
      </c>
      <c r="D2" s="2" t="s">
        <v>4</v>
      </c>
      <c r="E2" s="3" t="s">
        <v>5</v>
      </c>
      <c r="F2" s="3" t="s">
        <v>6</v>
      </c>
      <c r="G2" s="2" t="s">
        <v>7</v>
      </c>
      <c r="H2" s="4" t="s">
        <v>8</v>
      </c>
      <c r="I2" s="5" t="s">
        <v>9</v>
      </c>
    </row>
    <row r="3" spans="1:9" ht="12.75" customHeight="1">
      <c r="A3" s="52"/>
      <c r="B3" s="57" t="s">
        <v>155</v>
      </c>
      <c r="C3" s="54" t="s">
        <v>41</v>
      </c>
      <c r="D3" s="55">
        <v>10</v>
      </c>
      <c r="E3" s="56">
        <f>IF(C20&lt;=25%,D20,MIN(E20:F20))</f>
        <v>757.25</v>
      </c>
      <c r="F3" s="56">
        <f>MIN(H3:H17)</f>
        <v>697.5</v>
      </c>
      <c r="G3" s="6" t="s">
        <v>156</v>
      </c>
      <c r="H3" s="7">
        <v>697.5</v>
      </c>
      <c r="I3" s="8">
        <f t="shared" ref="I3:I17" si="0">IF(H3="","",(IF($C$20&lt;25%,"N/A",IF(H3&lt;=($D$20+$A$20),H3,"Descartado"))))</f>
        <v>697.5</v>
      </c>
    </row>
    <row r="4" spans="1:9">
      <c r="A4" s="52"/>
      <c r="B4" s="57"/>
      <c r="C4" s="54"/>
      <c r="D4" s="55"/>
      <c r="E4" s="56"/>
      <c r="F4" s="56"/>
      <c r="G4" s="6" t="s">
        <v>157</v>
      </c>
      <c r="H4" s="7">
        <v>817</v>
      </c>
      <c r="I4" s="8">
        <f t="shared" si="0"/>
        <v>817</v>
      </c>
    </row>
    <row r="5" spans="1:9">
      <c r="A5" s="52"/>
      <c r="B5" s="57"/>
      <c r="C5" s="54"/>
      <c r="D5" s="55"/>
      <c r="E5" s="56"/>
      <c r="F5" s="56"/>
      <c r="G5" s="6" t="s">
        <v>158</v>
      </c>
      <c r="H5" s="7">
        <v>1125</v>
      </c>
      <c r="I5" s="8" t="str">
        <f t="shared" si="0"/>
        <v>Descartado</v>
      </c>
    </row>
    <row r="6" spans="1:9">
      <c r="A6" s="52"/>
      <c r="B6" s="57"/>
      <c r="C6" s="54"/>
      <c r="D6" s="55"/>
      <c r="E6" s="56"/>
      <c r="F6" s="56"/>
      <c r="G6" s="6"/>
      <c r="H6" s="7"/>
      <c r="I6" s="8" t="str">
        <f t="shared" si="0"/>
        <v/>
      </c>
    </row>
    <row r="7" spans="1:9">
      <c r="A7" s="52"/>
      <c r="B7" s="57"/>
      <c r="C7" s="54"/>
      <c r="D7" s="55"/>
      <c r="E7" s="56"/>
      <c r="F7" s="56"/>
      <c r="G7" s="6"/>
      <c r="H7" s="7"/>
      <c r="I7" s="8" t="str">
        <f t="shared" si="0"/>
        <v/>
      </c>
    </row>
    <row r="8" spans="1:9">
      <c r="A8" s="52"/>
      <c r="B8" s="57"/>
      <c r="C8" s="54"/>
      <c r="D8" s="55"/>
      <c r="E8" s="56"/>
      <c r="F8" s="56"/>
      <c r="G8" s="6"/>
      <c r="H8" s="7"/>
      <c r="I8" s="8" t="str">
        <f t="shared" si="0"/>
        <v/>
      </c>
    </row>
    <row r="9" spans="1:9">
      <c r="A9" s="52"/>
      <c r="B9" s="57"/>
      <c r="C9" s="54"/>
      <c r="D9" s="55"/>
      <c r="E9" s="56"/>
      <c r="F9" s="56"/>
      <c r="G9" s="6"/>
      <c r="H9" s="7"/>
      <c r="I9" s="8" t="str">
        <f t="shared" si="0"/>
        <v/>
      </c>
    </row>
    <row r="10" spans="1:9">
      <c r="A10" s="52"/>
      <c r="B10" s="57"/>
      <c r="C10" s="54"/>
      <c r="D10" s="55"/>
      <c r="E10" s="56"/>
      <c r="F10" s="56"/>
      <c r="G10" s="6"/>
      <c r="H10" s="7"/>
      <c r="I10" s="8" t="str">
        <f t="shared" si="0"/>
        <v/>
      </c>
    </row>
    <row r="11" spans="1:9">
      <c r="A11" s="52"/>
      <c r="B11" s="57"/>
      <c r="C11" s="54"/>
      <c r="D11" s="55"/>
      <c r="E11" s="56"/>
      <c r="F11" s="56"/>
      <c r="G11" s="6"/>
      <c r="H11" s="7"/>
      <c r="I11" s="8" t="str">
        <f t="shared" si="0"/>
        <v/>
      </c>
    </row>
    <row r="12" spans="1:9">
      <c r="A12" s="52"/>
      <c r="B12" s="57"/>
      <c r="C12" s="54"/>
      <c r="D12" s="55"/>
      <c r="E12" s="56"/>
      <c r="F12" s="56"/>
      <c r="G12" s="6"/>
      <c r="H12" s="7"/>
      <c r="I12" s="8" t="str">
        <f t="shared" si="0"/>
        <v/>
      </c>
    </row>
    <row r="13" spans="1:9">
      <c r="A13" s="52"/>
      <c r="B13" s="57"/>
      <c r="C13" s="54"/>
      <c r="D13" s="55"/>
      <c r="E13" s="56"/>
      <c r="F13" s="56"/>
      <c r="G13" s="6"/>
      <c r="H13" s="7"/>
      <c r="I13" s="8" t="str">
        <f t="shared" si="0"/>
        <v/>
      </c>
    </row>
    <row r="14" spans="1:9">
      <c r="A14" s="52"/>
      <c r="B14" s="57"/>
      <c r="C14" s="54"/>
      <c r="D14" s="55"/>
      <c r="E14" s="56"/>
      <c r="F14" s="56"/>
      <c r="G14" s="6"/>
      <c r="H14" s="7"/>
      <c r="I14" s="8" t="str">
        <f t="shared" si="0"/>
        <v/>
      </c>
    </row>
    <row r="15" spans="1:9">
      <c r="A15" s="52"/>
      <c r="B15" s="57"/>
      <c r="C15" s="54"/>
      <c r="D15" s="55"/>
      <c r="E15" s="56"/>
      <c r="F15" s="56"/>
      <c r="G15" s="6"/>
      <c r="H15" s="7"/>
      <c r="I15" s="8" t="str">
        <f t="shared" si="0"/>
        <v/>
      </c>
    </row>
    <row r="16" spans="1:9">
      <c r="A16" s="52"/>
      <c r="B16" s="57"/>
      <c r="C16" s="54"/>
      <c r="D16" s="55"/>
      <c r="E16" s="56"/>
      <c r="F16" s="56"/>
      <c r="G16" s="6"/>
      <c r="H16" s="7"/>
      <c r="I16" s="8" t="str">
        <f t="shared" si="0"/>
        <v/>
      </c>
    </row>
    <row r="17" spans="1:11">
      <c r="A17" s="52"/>
      <c r="B17" s="57"/>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16</v>
      </c>
      <c r="B19" s="5" t="s">
        <v>17</v>
      </c>
      <c r="C19" s="4" t="s">
        <v>18</v>
      </c>
      <c r="D19" s="16" t="s">
        <v>19</v>
      </c>
      <c r="E19" s="17" t="s">
        <v>20</v>
      </c>
      <c r="F19" s="16" t="s">
        <v>21</v>
      </c>
      <c r="G19" s="49" t="s">
        <v>22</v>
      </c>
      <c r="H19" s="49"/>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50"/>
      <c r="E22" s="50"/>
      <c r="F22" s="30"/>
      <c r="G22" s="31" t="s">
        <v>23</v>
      </c>
      <c r="H22" s="32">
        <f>IF(C20&lt;=25%,D20,MIN(E20:F20))</f>
        <v>757.25</v>
      </c>
    </row>
    <row r="23" spans="1:11">
      <c r="B23" s="25"/>
      <c r="C23" s="25"/>
      <c r="D23" s="50"/>
      <c r="E23" s="50"/>
      <c r="F23" s="33"/>
      <c r="G23" s="4" t="s">
        <v>24</v>
      </c>
      <c r="H23" s="24">
        <f>ROUND(H22,2)*D3</f>
        <v>7572.5</v>
      </c>
    </row>
    <row r="24" spans="1:11">
      <c r="B24" s="29"/>
      <c r="C24" s="29"/>
      <c r="D24" s="18"/>
      <c r="E24" s="18"/>
    </row>
    <row r="26" spans="1:11" ht="12.75" customHeight="1">
      <c r="A26" s="47" t="s">
        <v>25</v>
      </c>
      <c r="B26" s="47"/>
      <c r="C26" s="47"/>
      <c r="D26" s="47"/>
      <c r="E26" s="47"/>
      <c r="F26" s="47"/>
      <c r="G26" s="47"/>
      <c r="H26" s="47"/>
      <c r="I26" s="47"/>
    </row>
    <row r="27" spans="1:11" ht="12.75" customHeight="1">
      <c r="A27" s="47" t="s">
        <v>26</v>
      </c>
      <c r="B27" s="47"/>
      <c r="C27" s="47"/>
      <c r="D27" s="47"/>
      <c r="E27" s="47"/>
      <c r="F27" s="47"/>
      <c r="G27" s="47"/>
      <c r="H27" s="47"/>
      <c r="I27" s="47"/>
    </row>
    <row r="28" spans="1:11" ht="12.75" customHeight="1">
      <c r="A28" s="47" t="s">
        <v>27</v>
      </c>
      <c r="B28" s="47"/>
      <c r="C28" s="47"/>
      <c r="D28" s="47"/>
      <c r="E28" s="47"/>
      <c r="F28" s="47"/>
      <c r="G28" s="47"/>
      <c r="H28" s="47"/>
      <c r="I28" s="47"/>
    </row>
    <row r="29" spans="1:11" ht="12.75" customHeight="1">
      <c r="A29" s="47" t="s">
        <v>28</v>
      </c>
      <c r="B29" s="47"/>
      <c r="C29" s="47"/>
      <c r="D29" s="47"/>
      <c r="E29" s="47"/>
      <c r="F29" s="47"/>
      <c r="G29" s="47"/>
      <c r="H29" s="47"/>
      <c r="I29" s="47"/>
    </row>
    <row r="30" spans="1:11" ht="12.75" customHeight="1">
      <c r="A30" s="47" t="s">
        <v>29</v>
      </c>
      <c r="B30" s="47"/>
      <c r="C30" s="47"/>
      <c r="D30" s="47"/>
      <c r="E30" s="47"/>
      <c r="F30" s="47"/>
      <c r="G30" s="47"/>
      <c r="H30" s="47"/>
      <c r="I30" s="47"/>
    </row>
    <row r="31" spans="1:11" ht="12.75" customHeight="1">
      <c r="A31" s="47" t="s">
        <v>30</v>
      </c>
      <c r="B31" s="47"/>
      <c r="C31" s="47"/>
      <c r="D31" s="47"/>
      <c r="E31" s="47"/>
      <c r="F31" s="47"/>
      <c r="G31" s="47"/>
      <c r="H31" s="47"/>
      <c r="I31" s="47"/>
    </row>
    <row r="32" spans="1:11" ht="24.75" customHeight="1">
      <c r="A32" s="48" t="s">
        <v>31</v>
      </c>
      <c r="B32" s="48"/>
      <c r="C32" s="48"/>
      <c r="D32" s="48"/>
      <c r="E32" s="48"/>
      <c r="F32" s="48"/>
      <c r="G32" s="48"/>
      <c r="H32" s="48"/>
      <c r="I32" s="48"/>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51" t="s">
        <v>0</v>
      </c>
      <c r="B1" s="51"/>
      <c r="C1" s="51"/>
      <c r="D1" s="51"/>
      <c r="E1" s="51"/>
      <c r="F1" s="51"/>
      <c r="G1" s="51"/>
      <c r="H1" s="51"/>
      <c r="I1" s="51"/>
    </row>
    <row r="2" spans="1:9" ht="25.5">
      <c r="A2" s="52" t="s">
        <v>175</v>
      </c>
      <c r="B2" s="2" t="s">
        <v>2</v>
      </c>
      <c r="C2" s="2" t="s">
        <v>3</v>
      </c>
      <c r="D2" s="2" t="s">
        <v>4</v>
      </c>
      <c r="E2" s="3" t="s">
        <v>5</v>
      </c>
      <c r="F2" s="3" t="s">
        <v>6</v>
      </c>
      <c r="G2" s="2" t="s">
        <v>7</v>
      </c>
      <c r="H2" s="4" t="s">
        <v>8</v>
      </c>
      <c r="I2" s="5" t="s">
        <v>9</v>
      </c>
    </row>
    <row r="3" spans="1:9" ht="12.75" customHeight="1">
      <c r="A3" s="52"/>
      <c r="B3" s="57" t="s">
        <v>155</v>
      </c>
      <c r="C3" s="54" t="s">
        <v>41</v>
      </c>
      <c r="D3" s="55">
        <v>10</v>
      </c>
      <c r="E3" s="56">
        <f>IF(C20&lt;=25%,D20,MIN(E20:F20))</f>
        <v>757.25</v>
      </c>
      <c r="F3" s="56">
        <f>MIN(H3:H17)</f>
        <v>697.5</v>
      </c>
      <c r="G3" s="6" t="s">
        <v>156</v>
      </c>
      <c r="H3" s="7">
        <v>697.5</v>
      </c>
      <c r="I3" s="8">
        <f t="shared" ref="I3:I17" si="0">IF(H3="","",(IF($C$20&lt;25%,"N/A",IF(H3&lt;=($D$20+$A$20),H3,"Descartado"))))</f>
        <v>697.5</v>
      </c>
    </row>
    <row r="4" spans="1:9">
      <c r="A4" s="52"/>
      <c r="B4" s="57"/>
      <c r="C4" s="54"/>
      <c r="D4" s="55"/>
      <c r="E4" s="56"/>
      <c r="F4" s="56"/>
      <c r="G4" s="6" t="s">
        <v>157</v>
      </c>
      <c r="H4" s="7">
        <v>817</v>
      </c>
      <c r="I4" s="8">
        <f t="shared" si="0"/>
        <v>817</v>
      </c>
    </row>
    <row r="5" spans="1:9">
      <c r="A5" s="52"/>
      <c r="B5" s="57"/>
      <c r="C5" s="54"/>
      <c r="D5" s="55"/>
      <c r="E5" s="56"/>
      <c r="F5" s="56"/>
      <c r="G5" s="6" t="s">
        <v>158</v>
      </c>
      <c r="H5" s="7">
        <v>1125</v>
      </c>
      <c r="I5" s="8" t="str">
        <f t="shared" si="0"/>
        <v>Descartado</v>
      </c>
    </row>
    <row r="6" spans="1:9">
      <c r="A6" s="52"/>
      <c r="B6" s="57"/>
      <c r="C6" s="54"/>
      <c r="D6" s="55"/>
      <c r="E6" s="56"/>
      <c r="F6" s="56"/>
      <c r="G6" s="6"/>
      <c r="H6" s="7"/>
      <c r="I6" s="8" t="str">
        <f t="shared" si="0"/>
        <v/>
      </c>
    </row>
    <row r="7" spans="1:9">
      <c r="A7" s="52"/>
      <c r="B7" s="57"/>
      <c r="C7" s="54"/>
      <c r="D7" s="55"/>
      <c r="E7" s="56"/>
      <c r="F7" s="56"/>
      <c r="G7" s="6"/>
      <c r="H7" s="7"/>
      <c r="I7" s="8" t="str">
        <f t="shared" si="0"/>
        <v/>
      </c>
    </row>
    <row r="8" spans="1:9">
      <c r="A8" s="52"/>
      <c r="B8" s="57"/>
      <c r="C8" s="54"/>
      <c r="D8" s="55"/>
      <c r="E8" s="56"/>
      <c r="F8" s="56"/>
      <c r="G8" s="6"/>
      <c r="H8" s="7"/>
      <c r="I8" s="8" t="str">
        <f t="shared" si="0"/>
        <v/>
      </c>
    </row>
    <row r="9" spans="1:9">
      <c r="A9" s="52"/>
      <c r="B9" s="57"/>
      <c r="C9" s="54"/>
      <c r="D9" s="55"/>
      <c r="E9" s="56"/>
      <c r="F9" s="56"/>
      <c r="G9" s="6"/>
      <c r="H9" s="7"/>
      <c r="I9" s="8" t="str">
        <f t="shared" si="0"/>
        <v/>
      </c>
    </row>
    <row r="10" spans="1:9">
      <c r="A10" s="52"/>
      <c r="B10" s="57"/>
      <c r="C10" s="54"/>
      <c r="D10" s="55"/>
      <c r="E10" s="56"/>
      <c r="F10" s="56"/>
      <c r="G10" s="6"/>
      <c r="H10" s="7"/>
      <c r="I10" s="8" t="str">
        <f t="shared" si="0"/>
        <v/>
      </c>
    </row>
    <row r="11" spans="1:9">
      <c r="A11" s="52"/>
      <c r="B11" s="57"/>
      <c r="C11" s="54"/>
      <c r="D11" s="55"/>
      <c r="E11" s="56"/>
      <c r="F11" s="56"/>
      <c r="G11" s="6"/>
      <c r="H11" s="7"/>
      <c r="I11" s="8" t="str">
        <f t="shared" si="0"/>
        <v/>
      </c>
    </row>
    <row r="12" spans="1:9">
      <c r="A12" s="52"/>
      <c r="B12" s="57"/>
      <c r="C12" s="54"/>
      <c r="D12" s="55"/>
      <c r="E12" s="56"/>
      <c r="F12" s="56"/>
      <c r="G12" s="6"/>
      <c r="H12" s="7"/>
      <c r="I12" s="8" t="str">
        <f t="shared" si="0"/>
        <v/>
      </c>
    </row>
    <row r="13" spans="1:9">
      <c r="A13" s="52"/>
      <c r="B13" s="57"/>
      <c r="C13" s="54"/>
      <c r="D13" s="55"/>
      <c r="E13" s="56"/>
      <c r="F13" s="56"/>
      <c r="G13" s="6"/>
      <c r="H13" s="7"/>
      <c r="I13" s="8" t="str">
        <f t="shared" si="0"/>
        <v/>
      </c>
    </row>
    <row r="14" spans="1:9">
      <c r="A14" s="52"/>
      <c r="B14" s="57"/>
      <c r="C14" s="54"/>
      <c r="D14" s="55"/>
      <c r="E14" s="56"/>
      <c r="F14" s="56"/>
      <c r="G14" s="6"/>
      <c r="H14" s="7"/>
      <c r="I14" s="8" t="str">
        <f t="shared" si="0"/>
        <v/>
      </c>
    </row>
    <row r="15" spans="1:9">
      <c r="A15" s="52"/>
      <c r="B15" s="57"/>
      <c r="C15" s="54"/>
      <c r="D15" s="55"/>
      <c r="E15" s="56"/>
      <c r="F15" s="56"/>
      <c r="G15" s="6"/>
      <c r="H15" s="7"/>
      <c r="I15" s="8" t="str">
        <f t="shared" si="0"/>
        <v/>
      </c>
    </row>
    <row r="16" spans="1:9">
      <c r="A16" s="52"/>
      <c r="B16" s="57"/>
      <c r="C16" s="54"/>
      <c r="D16" s="55"/>
      <c r="E16" s="56"/>
      <c r="F16" s="56"/>
      <c r="G16" s="6"/>
      <c r="H16" s="7"/>
      <c r="I16" s="8" t="str">
        <f t="shared" si="0"/>
        <v/>
      </c>
    </row>
    <row r="17" spans="1:11">
      <c r="A17" s="52"/>
      <c r="B17" s="57"/>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16</v>
      </c>
      <c r="B19" s="5" t="s">
        <v>17</v>
      </c>
      <c r="C19" s="4" t="s">
        <v>18</v>
      </c>
      <c r="D19" s="16" t="s">
        <v>19</v>
      </c>
      <c r="E19" s="17" t="s">
        <v>20</v>
      </c>
      <c r="F19" s="16" t="s">
        <v>21</v>
      </c>
      <c r="G19" s="49" t="s">
        <v>22</v>
      </c>
      <c r="H19" s="49"/>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50"/>
      <c r="E22" s="50"/>
      <c r="F22" s="30"/>
      <c r="G22" s="31" t="s">
        <v>23</v>
      </c>
      <c r="H22" s="32">
        <f>IF(C20&lt;=25%,D20,MIN(E20:F20))</f>
        <v>757.25</v>
      </c>
    </row>
    <row r="23" spans="1:11">
      <c r="B23" s="25"/>
      <c r="C23" s="25"/>
      <c r="D23" s="50"/>
      <c r="E23" s="50"/>
      <c r="F23" s="33"/>
      <c r="G23" s="4" t="s">
        <v>24</v>
      </c>
      <c r="H23" s="24">
        <f>ROUND(H22,2)*D3</f>
        <v>7572.5</v>
      </c>
    </row>
    <row r="24" spans="1:11">
      <c r="B24" s="29"/>
      <c r="C24" s="29"/>
      <c r="D24" s="18"/>
      <c r="E24" s="18"/>
    </row>
    <row r="26" spans="1:11" ht="12.75" customHeight="1">
      <c r="A26" s="47" t="s">
        <v>25</v>
      </c>
      <c r="B26" s="47"/>
      <c r="C26" s="47"/>
      <c r="D26" s="47"/>
      <c r="E26" s="47"/>
      <c r="F26" s="47"/>
      <c r="G26" s="47"/>
      <c r="H26" s="47"/>
      <c r="I26" s="47"/>
    </row>
    <row r="27" spans="1:11" ht="12.75" customHeight="1">
      <c r="A27" s="47" t="s">
        <v>26</v>
      </c>
      <c r="B27" s="47"/>
      <c r="C27" s="47"/>
      <c r="D27" s="47"/>
      <c r="E27" s="47"/>
      <c r="F27" s="47"/>
      <c r="G27" s="47"/>
      <c r="H27" s="47"/>
      <c r="I27" s="47"/>
    </row>
    <row r="28" spans="1:11" ht="12.75" customHeight="1">
      <c r="A28" s="47" t="s">
        <v>27</v>
      </c>
      <c r="B28" s="47"/>
      <c r="C28" s="47"/>
      <c r="D28" s="47"/>
      <c r="E28" s="47"/>
      <c r="F28" s="47"/>
      <c r="G28" s="47"/>
      <c r="H28" s="47"/>
      <c r="I28" s="47"/>
    </row>
    <row r="29" spans="1:11" ht="12.75" customHeight="1">
      <c r="A29" s="47" t="s">
        <v>28</v>
      </c>
      <c r="B29" s="47"/>
      <c r="C29" s="47"/>
      <c r="D29" s="47"/>
      <c r="E29" s="47"/>
      <c r="F29" s="47"/>
      <c r="G29" s="47"/>
      <c r="H29" s="47"/>
      <c r="I29" s="47"/>
    </row>
    <row r="30" spans="1:11" ht="12.75" customHeight="1">
      <c r="A30" s="47" t="s">
        <v>29</v>
      </c>
      <c r="B30" s="47"/>
      <c r="C30" s="47"/>
      <c r="D30" s="47"/>
      <c r="E30" s="47"/>
      <c r="F30" s="47"/>
      <c r="G30" s="47"/>
      <c r="H30" s="47"/>
      <c r="I30" s="47"/>
    </row>
    <row r="31" spans="1:11" ht="12.75" customHeight="1">
      <c r="A31" s="47" t="s">
        <v>30</v>
      </c>
      <c r="B31" s="47"/>
      <c r="C31" s="47"/>
      <c r="D31" s="47"/>
      <c r="E31" s="47"/>
      <c r="F31" s="47"/>
      <c r="G31" s="47"/>
      <c r="H31" s="47"/>
      <c r="I31" s="47"/>
    </row>
    <row r="32" spans="1:11" ht="24.75" customHeight="1">
      <c r="A32" s="48" t="s">
        <v>31</v>
      </c>
      <c r="B32" s="48"/>
      <c r="C32" s="48"/>
      <c r="D32" s="48"/>
      <c r="E32" s="48"/>
      <c r="F32" s="48"/>
      <c r="G32" s="48"/>
      <c r="H32" s="48"/>
      <c r="I32" s="48"/>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51" t="s">
        <v>0</v>
      </c>
      <c r="B1" s="51"/>
      <c r="C1" s="51"/>
      <c r="D1" s="51"/>
      <c r="E1" s="51"/>
      <c r="F1" s="51"/>
      <c r="G1" s="51"/>
      <c r="H1" s="51"/>
      <c r="I1" s="51"/>
    </row>
    <row r="2" spans="1:9" ht="25.5">
      <c r="A2" s="52" t="s">
        <v>176</v>
      </c>
      <c r="B2" s="2" t="s">
        <v>2</v>
      </c>
      <c r="C2" s="2" t="s">
        <v>3</v>
      </c>
      <c r="D2" s="2" t="s">
        <v>4</v>
      </c>
      <c r="E2" s="3" t="s">
        <v>5</v>
      </c>
      <c r="F2" s="3" t="s">
        <v>6</v>
      </c>
      <c r="G2" s="2" t="s">
        <v>7</v>
      </c>
      <c r="H2" s="4" t="s">
        <v>8</v>
      </c>
      <c r="I2" s="5" t="s">
        <v>9</v>
      </c>
    </row>
    <row r="3" spans="1:9" ht="12.75" customHeight="1">
      <c r="A3" s="52"/>
      <c r="B3" s="57" t="s">
        <v>155</v>
      </c>
      <c r="C3" s="54" t="s">
        <v>41</v>
      </c>
      <c r="D3" s="55">
        <v>10</v>
      </c>
      <c r="E3" s="56">
        <f>IF(C20&lt;=25%,D20,MIN(E20:F20))</f>
        <v>757.25</v>
      </c>
      <c r="F3" s="56">
        <f>MIN(H3:H17)</f>
        <v>697.5</v>
      </c>
      <c r="G3" s="6" t="s">
        <v>156</v>
      </c>
      <c r="H3" s="7">
        <v>697.5</v>
      </c>
      <c r="I3" s="8">
        <f t="shared" ref="I3:I17" si="0">IF(H3="","",(IF($C$20&lt;25%,"N/A",IF(H3&lt;=($D$20+$A$20),H3,"Descartado"))))</f>
        <v>697.5</v>
      </c>
    </row>
    <row r="4" spans="1:9">
      <c r="A4" s="52"/>
      <c r="B4" s="57"/>
      <c r="C4" s="54"/>
      <c r="D4" s="55"/>
      <c r="E4" s="56"/>
      <c r="F4" s="56"/>
      <c r="G4" s="6" t="s">
        <v>157</v>
      </c>
      <c r="H4" s="7">
        <v>817</v>
      </c>
      <c r="I4" s="8">
        <f t="shared" si="0"/>
        <v>817</v>
      </c>
    </row>
    <row r="5" spans="1:9">
      <c r="A5" s="52"/>
      <c r="B5" s="57"/>
      <c r="C5" s="54"/>
      <c r="D5" s="55"/>
      <c r="E5" s="56"/>
      <c r="F5" s="56"/>
      <c r="G5" s="6" t="s">
        <v>158</v>
      </c>
      <c r="H5" s="7">
        <v>1125</v>
      </c>
      <c r="I5" s="8" t="str">
        <f t="shared" si="0"/>
        <v>Descartado</v>
      </c>
    </row>
    <row r="6" spans="1:9">
      <c r="A6" s="52"/>
      <c r="B6" s="57"/>
      <c r="C6" s="54"/>
      <c r="D6" s="55"/>
      <c r="E6" s="56"/>
      <c r="F6" s="56"/>
      <c r="G6" s="6"/>
      <c r="H6" s="7"/>
      <c r="I6" s="8" t="str">
        <f t="shared" si="0"/>
        <v/>
      </c>
    </row>
    <row r="7" spans="1:9">
      <c r="A7" s="52"/>
      <c r="B7" s="57"/>
      <c r="C7" s="54"/>
      <c r="D7" s="55"/>
      <c r="E7" s="56"/>
      <c r="F7" s="56"/>
      <c r="G7" s="6"/>
      <c r="H7" s="7"/>
      <c r="I7" s="8" t="str">
        <f t="shared" si="0"/>
        <v/>
      </c>
    </row>
    <row r="8" spans="1:9">
      <c r="A8" s="52"/>
      <c r="B8" s="57"/>
      <c r="C8" s="54"/>
      <c r="D8" s="55"/>
      <c r="E8" s="56"/>
      <c r="F8" s="56"/>
      <c r="G8" s="6"/>
      <c r="H8" s="7"/>
      <c r="I8" s="8" t="str">
        <f t="shared" si="0"/>
        <v/>
      </c>
    </row>
    <row r="9" spans="1:9">
      <c r="A9" s="52"/>
      <c r="B9" s="57"/>
      <c r="C9" s="54"/>
      <c r="D9" s="55"/>
      <c r="E9" s="56"/>
      <c r="F9" s="56"/>
      <c r="G9" s="6"/>
      <c r="H9" s="7"/>
      <c r="I9" s="8" t="str">
        <f t="shared" si="0"/>
        <v/>
      </c>
    </row>
    <row r="10" spans="1:9">
      <c r="A10" s="52"/>
      <c r="B10" s="57"/>
      <c r="C10" s="54"/>
      <c r="D10" s="55"/>
      <c r="E10" s="56"/>
      <c r="F10" s="56"/>
      <c r="G10" s="6"/>
      <c r="H10" s="7"/>
      <c r="I10" s="8" t="str">
        <f t="shared" si="0"/>
        <v/>
      </c>
    </row>
    <row r="11" spans="1:9">
      <c r="A11" s="52"/>
      <c r="B11" s="57"/>
      <c r="C11" s="54"/>
      <c r="D11" s="55"/>
      <c r="E11" s="56"/>
      <c r="F11" s="56"/>
      <c r="G11" s="6"/>
      <c r="H11" s="7"/>
      <c r="I11" s="8" t="str">
        <f t="shared" si="0"/>
        <v/>
      </c>
    </row>
    <row r="12" spans="1:9">
      <c r="A12" s="52"/>
      <c r="B12" s="57"/>
      <c r="C12" s="54"/>
      <c r="D12" s="55"/>
      <c r="E12" s="56"/>
      <c r="F12" s="56"/>
      <c r="G12" s="6"/>
      <c r="H12" s="7"/>
      <c r="I12" s="8" t="str">
        <f t="shared" si="0"/>
        <v/>
      </c>
    </row>
    <row r="13" spans="1:9">
      <c r="A13" s="52"/>
      <c r="B13" s="57"/>
      <c r="C13" s="54"/>
      <c r="D13" s="55"/>
      <c r="E13" s="56"/>
      <c r="F13" s="56"/>
      <c r="G13" s="6"/>
      <c r="H13" s="7"/>
      <c r="I13" s="8" t="str">
        <f t="shared" si="0"/>
        <v/>
      </c>
    </row>
    <row r="14" spans="1:9">
      <c r="A14" s="52"/>
      <c r="B14" s="57"/>
      <c r="C14" s="54"/>
      <c r="D14" s="55"/>
      <c r="E14" s="56"/>
      <c r="F14" s="56"/>
      <c r="G14" s="6"/>
      <c r="H14" s="7"/>
      <c r="I14" s="8" t="str">
        <f t="shared" si="0"/>
        <v/>
      </c>
    </row>
    <row r="15" spans="1:9">
      <c r="A15" s="52"/>
      <c r="B15" s="57"/>
      <c r="C15" s="54"/>
      <c r="D15" s="55"/>
      <c r="E15" s="56"/>
      <c r="F15" s="56"/>
      <c r="G15" s="6"/>
      <c r="H15" s="7"/>
      <c r="I15" s="8" t="str">
        <f t="shared" si="0"/>
        <v/>
      </c>
    </row>
    <row r="16" spans="1:9">
      <c r="A16" s="52"/>
      <c r="B16" s="57"/>
      <c r="C16" s="54"/>
      <c r="D16" s="55"/>
      <c r="E16" s="56"/>
      <c r="F16" s="56"/>
      <c r="G16" s="6"/>
      <c r="H16" s="7"/>
      <c r="I16" s="8" t="str">
        <f t="shared" si="0"/>
        <v/>
      </c>
    </row>
    <row r="17" spans="1:11">
      <c r="A17" s="52"/>
      <c r="B17" s="57"/>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16</v>
      </c>
      <c r="B19" s="5" t="s">
        <v>17</v>
      </c>
      <c r="C19" s="4" t="s">
        <v>18</v>
      </c>
      <c r="D19" s="16" t="s">
        <v>19</v>
      </c>
      <c r="E19" s="17" t="s">
        <v>20</v>
      </c>
      <c r="F19" s="16" t="s">
        <v>21</v>
      </c>
      <c r="G19" s="49" t="s">
        <v>22</v>
      </c>
      <c r="H19" s="49"/>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50"/>
      <c r="E22" s="50"/>
      <c r="F22" s="30"/>
      <c r="G22" s="31" t="s">
        <v>23</v>
      </c>
      <c r="H22" s="32">
        <f>IF(C20&lt;=25%,D20,MIN(E20:F20))</f>
        <v>757.25</v>
      </c>
    </row>
    <row r="23" spans="1:11">
      <c r="B23" s="25"/>
      <c r="C23" s="25"/>
      <c r="D23" s="50"/>
      <c r="E23" s="50"/>
      <c r="F23" s="33"/>
      <c r="G23" s="4" t="s">
        <v>24</v>
      </c>
      <c r="H23" s="24">
        <f>ROUND(H22,2)*D3</f>
        <v>7572.5</v>
      </c>
    </row>
    <row r="24" spans="1:11">
      <c r="B24" s="29"/>
      <c r="C24" s="29"/>
      <c r="D24" s="18"/>
      <c r="E24" s="18"/>
    </row>
    <row r="26" spans="1:11" ht="12.75" customHeight="1">
      <c r="A26" s="47" t="s">
        <v>25</v>
      </c>
      <c r="B26" s="47"/>
      <c r="C26" s="47"/>
      <c r="D26" s="47"/>
      <c r="E26" s="47"/>
      <c r="F26" s="47"/>
      <c r="G26" s="47"/>
      <c r="H26" s="47"/>
      <c r="I26" s="47"/>
    </row>
    <row r="27" spans="1:11" ht="12.75" customHeight="1">
      <c r="A27" s="47" t="s">
        <v>26</v>
      </c>
      <c r="B27" s="47"/>
      <c r="C27" s="47"/>
      <c r="D27" s="47"/>
      <c r="E27" s="47"/>
      <c r="F27" s="47"/>
      <c r="G27" s="47"/>
      <c r="H27" s="47"/>
      <c r="I27" s="47"/>
    </row>
    <row r="28" spans="1:11" ht="12.75" customHeight="1">
      <c r="A28" s="47" t="s">
        <v>27</v>
      </c>
      <c r="B28" s="47"/>
      <c r="C28" s="47"/>
      <c r="D28" s="47"/>
      <c r="E28" s="47"/>
      <c r="F28" s="47"/>
      <c r="G28" s="47"/>
      <c r="H28" s="47"/>
      <c r="I28" s="47"/>
    </row>
    <row r="29" spans="1:11" ht="12.75" customHeight="1">
      <c r="A29" s="47" t="s">
        <v>28</v>
      </c>
      <c r="B29" s="47"/>
      <c r="C29" s="47"/>
      <c r="D29" s="47"/>
      <c r="E29" s="47"/>
      <c r="F29" s="47"/>
      <c r="G29" s="47"/>
      <c r="H29" s="47"/>
      <c r="I29" s="47"/>
    </row>
    <row r="30" spans="1:11" ht="12.75" customHeight="1">
      <c r="A30" s="47" t="s">
        <v>29</v>
      </c>
      <c r="B30" s="47"/>
      <c r="C30" s="47"/>
      <c r="D30" s="47"/>
      <c r="E30" s="47"/>
      <c r="F30" s="47"/>
      <c r="G30" s="47"/>
      <c r="H30" s="47"/>
      <c r="I30" s="47"/>
    </row>
    <row r="31" spans="1:11" ht="12.75" customHeight="1">
      <c r="A31" s="47" t="s">
        <v>30</v>
      </c>
      <c r="B31" s="47"/>
      <c r="C31" s="47"/>
      <c r="D31" s="47"/>
      <c r="E31" s="47"/>
      <c r="F31" s="47"/>
      <c r="G31" s="47"/>
      <c r="H31" s="47"/>
      <c r="I31" s="47"/>
    </row>
    <row r="32" spans="1:11" ht="24.75" customHeight="1">
      <c r="A32" s="48" t="s">
        <v>31</v>
      </c>
      <c r="B32" s="48"/>
      <c r="C32" s="48"/>
      <c r="D32" s="48"/>
      <c r="E32" s="48"/>
      <c r="F32" s="48"/>
      <c r="G32" s="48"/>
      <c r="H32" s="48"/>
      <c r="I32" s="48"/>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51" t="s">
        <v>0</v>
      </c>
      <c r="B1" s="51"/>
      <c r="C1" s="51"/>
      <c r="D1" s="51"/>
      <c r="E1" s="51"/>
      <c r="F1" s="51"/>
      <c r="G1" s="51"/>
      <c r="H1" s="51"/>
      <c r="I1" s="51"/>
    </row>
    <row r="2" spans="1:9" ht="25.5">
      <c r="A2" s="52" t="s">
        <v>177</v>
      </c>
      <c r="B2" s="2" t="s">
        <v>2</v>
      </c>
      <c r="C2" s="2" t="s">
        <v>3</v>
      </c>
      <c r="D2" s="2" t="s">
        <v>4</v>
      </c>
      <c r="E2" s="3" t="s">
        <v>5</v>
      </c>
      <c r="F2" s="3" t="s">
        <v>6</v>
      </c>
      <c r="G2" s="2" t="s">
        <v>7</v>
      </c>
      <c r="H2" s="4" t="s">
        <v>8</v>
      </c>
      <c r="I2" s="5" t="s">
        <v>9</v>
      </c>
    </row>
    <row r="3" spans="1:9" ht="12.75" customHeight="1">
      <c r="A3" s="52"/>
      <c r="B3" s="57" t="s">
        <v>155</v>
      </c>
      <c r="C3" s="54" t="s">
        <v>41</v>
      </c>
      <c r="D3" s="55">
        <v>10</v>
      </c>
      <c r="E3" s="56">
        <f>IF(C20&lt;=25%,D20,MIN(E20:F20))</f>
        <v>757.25</v>
      </c>
      <c r="F3" s="56">
        <f>MIN(H3:H17)</f>
        <v>697.5</v>
      </c>
      <c r="G3" s="6" t="s">
        <v>156</v>
      </c>
      <c r="H3" s="7">
        <v>697.5</v>
      </c>
      <c r="I3" s="8">
        <f t="shared" ref="I3:I17" si="0">IF(H3="","",(IF($C$20&lt;25%,"N/A",IF(H3&lt;=($D$20+$A$20),H3,"Descartado"))))</f>
        <v>697.5</v>
      </c>
    </row>
    <row r="4" spans="1:9">
      <c r="A4" s="52"/>
      <c r="B4" s="57"/>
      <c r="C4" s="54"/>
      <c r="D4" s="55"/>
      <c r="E4" s="56"/>
      <c r="F4" s="56"/>
      <c r="G4" s="6" t="s">
        <v>157</v>
      </c>
      <c r="H4" s="7">
        <v>817</v>
      </c>
      <c r="I4" s="8">
        <f t="shared" si="0"/>
        <v>817</v>
      </c>
    </row>
    <row r="5" spans="1:9">
      <c r="A5" s="52"/>
      <c r="B5" s="57"/>
      <c r="C5" s="54"/>
      <c r="D5" s="55"/>
      <c r="E5" s="56"/>
      <c r="F5" s="56"/>
      <c r="G5" s="6" t="s">
        <v>158</v>
      </c>
      <c r="H5" s="7">
        <v>1125</v>
      </c>
      <c r="I5" s="8" t="str">
        <f t="shared" si="0"/>
        <v>Descartado</v>
      </c>
    </row>
    <row r="6" spans="1:9">
      <c r="A6" s="52"/>
      <c r="B6" s="57"/>
      <c r="C6" s="54"/>
      <c r="D6" s="55"/>
      <c r="E6" s="56"/>
      <c r="F6" s="56"/>
      <c r="G6" s="6"/>
      <c r="H6" s="7"/>
      <c r="I6" s="8" t="str">
        <f t="shared" si="0"/>
        <v/>
      </c>
    </row>
    <row r="7" spans="1:9">
      <c r="A7" s="52"/>
      <c r="B7" s="57"/>
      <c r="C7" s="54"/>
      <c r="D7" s="55"/>
      <c r="E7" s="56"/>
      <c r="F7" s="56"/>
      <c r="G7" s="6"/>
      <c r="H7" s="7"/>
      <c r="I7" s="8" t="str">
        <f t="shared" si="0"/>
        <v/>
      </c>
    </row>
    <row r="8" spans="1:9">
      <c r="A8" s="52"/>
      <c r="B8" s="57"/>
      <c r="C8" s="54"/>
      <c r="D8" s="55"/>
      <c r="E8" s="56"/>
      <c r="F8" s="56"/>
      <c r="G8" s="6"/>
      <c r="H8" s="7"/>
      <c r="I8" s="8" t="str">
        <f t="shared" si="0"/>
        <v/>
      </c>
    </row>
    <row r="9" spans="1:9">
      <c r="A9" s="52"/>
      <c r="B9" s="57"/>
      <c r="C9" s="54"/>
      <c r="D9" s="55"/>
      <c r="E9" s="56"/>
      <c r="F9" s="56"/>
      <c r="G9" s="6"/>
      <c r="H9" s="7"/>
      <c r="I9" s="8" t="str">
        <f t="shared" si="0"/>
        <v/>
      </c>
    </row>
    <row r="10" spans="1:9">
      <c r="A10" s="52"/>
      <c r="B10" s="57"/>
      <c r="C10" s="54"/>
      <c r="D10" s="55"/>
      <c r="E10" s="56"/>
      <c r="F10" s="56"/>
      <c r="G10" s="6"/>
      <c r="H10" s="7"/>
      <c r="I10" s="8" t="str">
        <f t="shared" si="0"/>
        <v/>
      </c>
    </row>
    <row r="11" spans="1:9">
      <c r="A11" s="52"/>
      <c r="B11" s="57"/>
      <c r="C11" s="54"/>
      <c r="D11" s="55"/>
      <c r="E11" s="56"/>
      <c r="F11" s="56"/>
      <c r="G11" s="6"/>
      <c r="H11" s="7"/>
      <c r="I11" s="8" t="str">
        <f t="shared" si="0"/>
        <v/>
      </c>
    </row>
    <row r="12" spans="1:9">
      <c r="A12" s="52"/>
      <c r="B12" s="57"/>
      <c r="C12" s="54"/>
      <c r="D12" s="55"/>
      <c r="E12" s="56"/>
      <c r="F12" s="56"/>
      <c r="G12" s="6"/>
      <c r="H12" s="7"/>
      <c r="I12" s="8" t="str">
        <f t="shared" si="0"/>
        <v/>
      </c>
    </row>
    <row r="13" spans="1:9">
      <c r="A13" s="52"/>
      <c r="B13" s="57"/>
      <c r="C13" s="54"/>
      <c r="D13" s="55"/>
      <c r="E13" s="56"/>
      <c r="F13" s="56"/>
      <c r="G13" s="6"/>
      <c r="H13" s="7"/>
      <c r="I13" s="8" t="str">
        <f t="shared" si="0"/>
        <v/>
      </c>
    </row>
    <row r="14" spans="1:9">
      <c r="A14" s="52"/>
      <c r="B14" s="57"/>
      <c r="C14" s="54"/>
      <c r="D14" s="55"/>
      <c r="E14" s="56"/>
      <c r="F14" s="56"/>
      <c r="G14" s="6"/>
      <c r="H14" s="7"/>
      <c r="I14" s="8" t="str">
        <f t="shared" si="0"/>
        <v/>
      </c>
    </row>
    <row r="15" spans="1:9">
      <c r="A15" s="52"/>
      <c r="B15" s="57"/>
      <c r="C15" s="54"/>
      <c r="D15" s="55"/>
      <c r="E15" s="56"/>
      <c r="F15" s="56"/>
      <c r="G15" s="6"/>
      <c r="H15" s="7"/>
      <c r="I15" s="8" t="str">
        <f t="shared" si="0"/>
        <v/>
      </c>
    </row>
    <row r="16" spans="1:9">
      <c r="A16" s="52"/>
      <c r="B16" s="57"/>
      <c r="C16" s="54"/>
      <c r="D16" s="55"/>
      <c r="E16" s="56"/>
      <c r="F16" s="56"/>
      <c r="G16" s="6"/>
      <c r="H16" s="7"/>
      <c r="I16" s="8" t="str">
        <f t="shared" si="0"/>
        <v/>
      </c>
    </row>
    <row r="17" spans="1:11">
      <c r="A17" s="52"/>
      <c r="B17" s="57"/>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16</v>
      </c>
      <c r="B19" s="5" t="s">
        <v>17</v>
      </c>
      <c r="C19" s="4" t="s">
        <v>18</v>
      </c>
      <c r="D19" s="16" t="s">
        <v>19</v>
      </c>
      <c r="E19" s="17" t="s">
        <v>20</v>
      </c>
      <c r="F19" s="16" t="s">
        <v>21</v>
      </c>
      <c r="G19" s="49" t="s">
        <v>22</v>
      </c>
      <c r="H19" s="49"/>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50"/>
      <c r="E22" s="50"/>
      <c r="F22" s="30"/>
      <c r="G22" s="31" t="s">
        <v>23</v>
      </c>
      <c r="H22" s="32">
        <f>IF(C20&lt;=25%,D20,MIN(E20:F20))</f>
        <v>757.25</v>
      </c>
    </row>
    <row r="23" spans="1:11">
      <c r="B23" s="25"/>
      <c r="C23" s="25"/>
      <c r="D23" s="50"/>
      <c r="E23" s="50"/>
      <c r="F23" s="33"/>
      <c r="G23" s="4" t="s">
        <v>24</v>
      </c>
      <c r="H23" s="24">
        <f>ROUND(H22,2)*D3</f>
        <v>7572.5</v>
      </c>
    </row>
    <row r="24" spans="1:11">
      <c r="B24" s="29"/>
      <c r="C24" s="29"/>
      <c r="D24" s="18"/>
      <c r="E24" s="18"/>
    </row>
    <row r="26" spans="1:11" ht="12.75" customHeight="1">
      <c r="A26" s="47" t="s">
        <v>25</v>
      </c>
      <c r="B26" s="47"/>
      <c r="C26" s="47"/>
      <c r="D26" s="47"/>
      <c r="E26" s="47"/>
      <c r="F26" s="47"/>
      <c r="G26" s="47"/>
      <c r="H26" s="47"/>
      <c r="I26" s="47"/>
    </row>
    <row r="27" spans="1:11" ht="12.75" customHeight="1">
      <c r="A27" s="47" t="s">
        <v>26</v>
      </c>
      <c r="B27" s="47"/>
      <c r="C27" s="47"/>
      <c r="D27" s="47"/>
      <c r="E27" s="47"/>
      <c r="F27" s="47"/>
      <c r="G27" s="47"/>
      <c r="H27" s="47"/>
      <c r="I27" s="47"/>
    </row>
    <row r="28" spans="1:11" ht="12.75" customHeight="1">
      <c r="A28" s="47" t="s">
        <v>27</v>
      </c>
      <c r="B28" s="47"/>
      <c r="C28" s="47"/>
      <c r="D28" s="47"/>
      <c r="E28" s="47"/>
      <c r="F28" s="47"/>
      <c r="G28" s="47"/>
      <c r="H28" s="47"/>
      <c r="I28" s="47"/>
    </row>
    <row r="29" spans="1:11" ht="12.75" customHeight="1">
      <c r="A29" s="47" t="s">
        <v>28</v>
      </c>
      <c r="B29" s="47"/>
      <c r="C29" s="47"/>
      <c r="D29" s="47"/>
      <c r="E29" s="47"/>
      <c r="F29" s="47"/>
      <c r="G29" s="47"/>
      <c r="H29" s="47"/>
      <c r="I29" s="47"/>
    </row>
    <row r="30" spans="1:11" ht="12.75" customHeight="1">
      <c r="A30" s="47" t="s">
        <v>29</v>
      </c>
      <c r="B30" s="47"/>
      <c r="C30" s="47"/>
      <c r="D30" s="47"/>
      <c r="E30" s="47"/>
      <c r="F30" s="47"/>
      <c r="G30" s="47"/>
      <c r="H30" s="47"/>
      <c r="I30" s="47"/>
    </row>
    <row r="31" spans="1:11" ht="12.75" customHeight="1">
      <c r="A31" s="47" t="s">
        <v>30</v>
      </c>
      <c r="B31" s="47"/>
      <c r="C31" s="47"/>
      <c r="D31" s="47"/>
      <c r="E31" s="47"/>
      <c r="F31" s="47"/>
      <c r="G31" s="47"/>
      <c r="H31" s="47"/>
      <c r="I31" s="47"/>
    </row>
    <row r="32" spans="1:11" ht="24.75" customHeight="1">
      <c r="A32" s="48" t="s">
        <v>31</v>
      </c>
      <c r="B32" s="48"/>
      <c r="C32" s="48"/>
      <c r="D32" s="48"/>
      <c r="E32" s="48"/>
      <c r="F32" s="48"/>
      <c r="G32" s="48"/>
      <c r="H32" s="48"/>
      <c r="I32" s="48"/>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2" sqref="A2"/>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51" t="s">
        <v>0</v>
      </c>
      <c r="B1" s="51"/>
      <c r="C1" s="51"/>
      <c r="D1" s="51"/>
      <c r="E1" s="51"/>
      <c r="F1" s="51"/>
      <c r="G1" s="51"/>
      <c r="H1" s="51"/>
      <c r="I1" s="51"/>
    </row>
    <row r="2" spans="1:9" ht="25.5">
      <c r="A2" s="52" t="s">
        <v>178</v>
      </c>
      <c r="B2" s="2" t="s">
        <v>2</v>
      </c>
      <c r="C2" s="2" t="s">
        <v>3</v>
      </c>
      <c r="D2" s="2" t="s">
        <v>4</v>
      </c>
      <c r="E2" s="3" t="s">
        <v>5</v>
      </c>
      <c r="F2" s="3" t="s">
        <v>6</v>
      </c>
      <c r="G2" s="2" t="s">
        <v>7</v>
      </c>
      <c r="H2" s="4" t="s">
        <v>8</v>
      </c>
      <c r="I2" s="5" t="s">
        <v>9</v>
      </c>
    </row>
    <row r="3" spans="1:9" ht="12.75" customHeight="1">
      <c r="A3" s="52"/>
      <c r="B3" s="57" t="s">
        <v>155</v>
      </c>
      <c r="C3" s="54" t="s">
        <v>41</v>
      </c>
      <c r="D3" s="55">
        <v>10</v>
      </c>
      <c r="E3" s="56">
        <f>IF(C20&lt;=25%,D20,MIN(E20:F20))</f>
        <v>757.25</v>
      </c>
      <c r="F3" s="56">
        <f>MIN(H3:H17)</f>
        <v>697.5</v>
      </c>
      <c r="G3" s="6" t="s">
        <v>156</v>
      </c>
      <c r="H3" s="7">
        <v>697.5</v>
      </c>
      <c r="I3" s="8">
        <f t="shared" ref="I3:I17" si="0">IF(H3="","",(IF($C$20&lt;25%,"N/A",IF(H3&lt;=($D$20+$A$20),H3,"Descartado"))))</f>
        <v>697.5</v>
      </c>
    </row>
    <row r="4" spans="1:9">
      <c r="A4" s="52"/>
      <c r="B4" s="57"/>
      <c r="C4" s="54"/>
      <c r="D4" s="55"/>
      <c r="E4" s="56"/>
      <c r="F4" s="56"/>
      <c r="G4" s="6" t="s">
        <v>157</v>
      </c>
      <c r="H4" s="7">
        <v>817</v>
      </c>
      <c r="I4" s="8">
        <f t="shared" si="0"/>
        <v>817</v>
      </c>
    </row>
    <row r="5" spans="1:9">
      <c r="A5" s="52"/>
      <c r="B5" s="57"/>
      <c r="C5" s="54"/>
      <c r="D5" s="55"/>
      <c r="E5" s="56"/>
      <c r="F5" s="56"/>
      <c r="G5" s="6" t="s">
        <v>158</v>
      </c>
      <c r="H5" s="7">
        <v>1125</v>
      </c>
      <c r="I5" s="8" t="str">
        <f t="shared" si="0"/>
        <v>Descartado</v>
      </c>
    </row>
    <row r="6" spans="1:9">
      <c r="A6" s="52"/>
      <c r="B6" s="57"/>
      <c r="C6" s="54"/>
      <c r="D6" s="55"/>
      <c r="E6" s="56"/>
      <c r="F6" s="56"/>
      <c r="G6" s="6"/>
      <c r="H6" s="7"/>
      <c r="I6" s="8" t="str">
        <f t="shared" si="0"/>
        <v/>
      </c>
    </row>
    <row r="7" spans="1:9">
      <c r="A7" s="52"/>
      <c r="B7" s="57"/>
      <c r="C7" s="54"/>
      <c r="D7" s="55"/>
      <c r="E7" s="56"/>
      <c r="F7" s="56"/>
      <c r="G7" s="6"/>
      <c r="H7" s="7"/>
      <c r="I7" s="8" t="str">
        <f t="shared" si="0"/>
        <v/>
      </c>
    </row>
    <row r="8" spans="1:9">
      <c r="A8" s="52"/>
      <c r="B8" s="57"/>
      <c r="C8" s="54"/>
      <c r="D8" s="55"/>
      <c r="E8" s="56"/>
      <c r="F8" s="56"/>
      <c r="G8" s="6"/>
      <c r="H8" s="7"/>
      <c r="I8" s="8" t="str">
        <f t="shared" si="0"/>
        <v/>
      </c>
    </row>
    <row r="9" spans="1:9">
      <c r="A9" s="52"/>
      <c r="B9" s="57"/>
      <c r="C9" s="54"/>
      <c r="D9" s="55"/>
      <c r="E9" s="56"/>
      <c r="F9" s="56"/>
      <c r="G9" s="6"/>
      <c r="H9" s="7"/>
      <c r="I9" s="8" t="str">
        <f t="shared" si="0"/>
        <v/>
      </c>
    </row>
    <row r="10" spans="1:9">
      <c r="A10" s="52"/>
      <c r="B10" s="57"/>
      <c r="C10" s="54"/>
      <c r="D10" s="55"/>
      <c r="E10" s="56"/>
      <c r="F10" s="56"/>
      <c r="G10" s="6"/>
      <c r="H10" s="7"/>
      <c r="I10" s="8" t="str">
        <f t="shared" si="0"/>
        <v/>
      </c>
    </row>
    <row r="11" spans="1:9">
      <c r="A11" s="52"/>
      <c r="B11" s="57"/>
      <c r="C11" s="54"/>
      <c r="D11" s="55"/>
      <c r="E11" s="56"/>
      <c r="F11" s="56"/>
      <c r="G11" s="6"/>
      <c r="H11" s="7"/>
      <c r="I11" s="8" t="str">
        <f t="shared" si="0"/>
        <v/>
      </c>
    </row>
    <row r="12" spans="1:9">
      <c r="A12" s="52"/>
      <c r="B12" s="57"/>
      <c r="C12" s="54"/>
      <c r="D12" s="55"/>
      <c r="E12" s="56"/>
      <c r="F12" s="56"/>
      <c r="G12" s="6"/>
      <c r="H12" s="7"/>
      <c r="I12" s="8" t="str">
        <f t="shared" si="0"/>
        <v/>
      </c>
    </row>
    <row r="13" spans="1:9">
      <c r="A13" s="52"/>
      <c r="B13" s="57"/>
      <c r="C13" s="54"/>
      <c r="D13" s="55"/>
      <c r="E13" s="56"/>
      <c r="F13" s="56"/>
      <c r="G13" s="6"/>
      <c r="H13" s="7"/>
      <c r="I13" s="8" t="str">
        <f t="shared" si="0"/>
        <v/>
      </c>
    </row>
    <row r="14" spans="1:9">
      <c r="A14" s="52"/>
      <c r="B14" s="57"/>
      <c r="C14" s="54"/>
      <c r="D14" s="55"/>
      <c r="E14" s="56"/>
      <c r="F14" s="56"/>
      <c r="G14" s="6"/>
      <c r="H14" s="7"/>
      <c r="I14" s="8" t="str">
        <f t="shared" si="0"/>
        <v/>
      </c>
    </row>
    <row r="15" spans="1:9">
      <c r="A15" s="52"/>
      <c r="B15" s="57"/>
      <c r="C15" s="54"/>
      <c r="D15" s="55"/>
      <c r="E15" s="56"/>
      <c r="F15" s="56"/>
      <c r="G15" s="6"/>
      <c r="H15" s="7"/>
      <c r="I15" s="8" t="str">
        <f t="shared" si="0"/>
        <v/>
      </c>
    </row>
    <row r="16" spans="1:9">
      <c r="A16" s="52"/>
      <c r="B16" s="57"/>
      <c r="C16" s="54"/>
      <c r="D16" s="55"/>
      <c r="E16" s="56"/>
      <c r="F16" s="56"/>
      <c r="G16" s="6"/>
      <c r="H16" s="7"/>
      <c r="I16" s="8" t="str">
        <f t="shared" si="0"/>
        <v/>
      </c>
    </row>
    <row r="17" spans="1:11">
      <c r="A17" s="52"/>
      <c r="B17" s="57"/>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16</v>
      </c>
      <c r="B19" s="5" t="s">
        <v>17</v>
      </c>
      <c r="C19" s="4" t="s">
        <v>18</v>
      </c>
      <c r="D19" s="16" t="s">
        <v>19</v>
      </c>
      <c r="E19" s="17" t="s">
        <v>20</v>
      </c>
      <c r="F19" s="16" t="s">
        <v>21</v>
      </c>
      <c r="G19" s="49" t="s">
        <v>22</v>
      </c>
      <c r="H19" s="49"/>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50"/>
      <c r="E22" s="50"/>
      <c r="F22" s="30"/>
      <c r="G22" s="31" t="s">
        <v>23</v>
      </c>
      <c r="H22" s="32">
        <f>IF(C20&lt;=25%,D20,MIN(E20:F20))</f>
        <v>757.25</v>
      </c>
    </row>
    <row r="23" spans="1:11">
      <c r="B23" s="25"/>
      <c r="C23" s="25"/>
      <c r="D23" s="50"/>
      <c r="E23" s="50"/>
      <c r="F23" s="33"/>
      <c r="G23" s="4" t="s">
        <v>24</v>
      </c>
      <c r="H23" s="24">
        <f>ROUND(H22,2)*D3</f>
        <v>7572.5</v>
      </c>
    </row>
    <row r="24" spans="1:11">
      <c r="B24" s="29"/>
      <c r="C24" s="29"/>
      <c r="D24" s="18"/>
      <c r="E24" s="18"/>
    </row>
    <row r="26" spans="1:11" ht="12.75" customHeight="1">
      <c r="A26" s="47" t="s">
        <v>25</v>
      </c>
      <c r="B26" s="47"/>
      <c r="C26" s="47"/>
      <c r="D26" s="47"/>
      <c r="E26" s="47"/>
      <c r="F26" s="47"/>
      <c r="G26" s="47"/>
      <c r="H26" s="47"/>
      <c r="I26" s="47"/>
    </row>
    <row r="27" spans="1:11" ht="12.75" customHeight="1">
      <c r="A27" s="47" t="s">
        <v>26</v>
      </c>
      <c r="B27" s="47"/>
      <c r="C27" s="47"/>
      <c r="D27" s="47"/>
      <c r="E27" s="47"/>
      <c r="F27" s="47"/>
      <c r="G27" s="47"/>
      <c r="H27" s="47"/>
      <c r="I27" s="47"/>
    </row>
    <row r="28" spans="1:11" ht="12.75" customHeight="1">
      <c r="A28" s="47" t="s">
        <v>27</v>
      </c>
      <c r="B28" s="47"/>
      <c r="C28" s="47"/>
      <c r="D28" s="47"/>
      <c r="E28" s="47"/>
      <c r="F28" s="47"/>
      <c r="G28" s="47"/>
      <c r="H28" s="47"/>
      <c r="I28" s="47"/>
    </row>
    <row r="29" spans="1:11" ht="12.75" customHeight="1">
      <c r="A29" s="47" t="s">
        <v>28</v>
      </c>
      <c r="B29" s="47"/>
      <c r="C29" s="47"/>
      <c r="D29" s="47"/>
      <c r="E29" s="47"/>
      <c r="F29" s="47"/>
      <c r="G29" s="47"/>
      <c r="H29" s="47"/>
      <c r="I29" s="47"/>
    </row>
    <row r="30" spans="1:11" ht="12.75" customHeight="1">
      <c r="A30" s="47" t="s">
        <v>29</v>
      </c>
      <c r="B30" s="47"/>
      <c r="C30" s="47"/>
      <c r="D30" s="47"/>
      <c r="E30" s="47"/>
      <c r="F30" s="47"/>
      <c r="G30" s="47"/>
      <c r="H30" s="47"/>
      <c r="I30" s="47"/>
    </row>
    <row r="31" spans="1:11" ht="12.75" customHeight="1">
      <c r="A31" s="47" t="s">
        <v>30</v>
      </c>
      <c r="B31" s="47"/>
      <c r="C31" s="47"/>
      <c r="D31" s="47"/>
      <c r="E31" s="47"/>
      <c r="F31" s="47"/>
      <c r="G31" s="47"/>
      <c r="H31" s="47"/>
      <c r="I31" s="47"/>
    </row>
    <row r="32" spans="1:11" ht="24.75" customHeight="1">
      <c r="A32" s="48" t="s">
        <v>31</v>
      </c>
      <c r="B32" s="48"/>
      <c r="C32" s="48"/>
      <c r="D32" s="48"/>
      <c r="E32" s="48"/>
      <c r="F32" s="48"/>
      <c r="G32" s="48"/>
      <c r="H32" s="48"/>
      <c r="I32" s="48"/>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51" t="s">
        <v>0</v>
      </c>
      <c r="B1" s="51"/>
      <c r="C1" s="51"/>
      <c r="D1" s="51"/>
      <c r="E1" s="51"/>
      <c r="F1" s="51"/>
      <c r="G1" s="51"/>
      <c r="H1" s="51"/>
      <c r="I1" s="51"/>
    </row>
    <row r="2" spans="1:9" ht="25.5">
      <c r="A2" s="52" t="s">
        <v>179</v>
      </c>
      <c r="B2" s="2" t="s">
        <v>2</v>
      </c>
      <c r="C2" s="2" t="s">
        <v>3</v>
      </c>
      <c r="D2" s="2" t="s">
        <v>4</v>
      </c>
      <c r="E2" s="3" t="s">
        <v>5</v>
      </c>
      <c r="F2" s="3" t="s">
        <v>6</v>
      </c>
      <c r="G2" s="2" t="s">
        <v>7</v>
      </c>
      <c r="H2" s="4" t="s">
        <v>8</v>
      </c>
      <c r="I2" s="5" t="s">
        <v>9</v>
      </c>
    </row>
    <row r="3" spans="1:9" ht="12.75" customHeight="1">
      <c r="A3" s="52"/>
      <c r="B3" s="57" t="s">
        <v>155</v>
      </c>
      <c r="C3" s="54" t="s">
        <v>41</v>
      </c>
      <c r="D3" s="55">
        <v>10</v>
      </c>
      <c r="E3" s="56">
        <f>IF(C20&lt;=25%,D20,MIN(E20:F20))</f>
        <v>757.25</v>
      </c>
      <c r="F3" s="56">
        <f>MIN(H3:H17)</f>
        <v>697.5</v>
      </c>
      <c r="G3" s="6" t="s">
        <v>156</v>
      </c>
      <c r="H3" s="7">
        <v>697.5</v>
      </c>
      <c r="I3" s="8">
        <f t="shared" ref="I3:I17" si="0">IF(H3="","",(IF($C$20&lt;25%,"N/A",IF(H3&lt;=($D$20+$A$20),H3,"Descartado"))))</f>
        <v>697.5</v>
      </c>
    </row>
    <row r="4" spans="1:9">
      <c r="A4" s="52"/>
      <c r="B4" s="57"/>
      <c r="C4" s="54"/>
      <c r="D4" s="55"/>
      <c r="E4" s="56"/>
      <c r="F4" s="56"/>
      <c r="G4" s="6" t="s">
        <v>157</v>
      </c>
      <c r="H4" s="7">
        <v>817</v>
      </c>
      <c r="I4" s="8">
        <f t="shared" si="0"/>
        <v>817</v>
      </c>
    </row>
    <row r="5" spans="1:9">
      <c r="A5" s="52"/>
      <c r="B5" s="57"/>
      <c r="C5" s="54"/>
      <c r="D5" s="55"/>
      <c r="E5" s="56"/>
      <c r="F5" s="56"/>
      <c r="G5" s="6" t="s">
        <v>158</v>
      </c>
      <c r="H5" s="7">
        <v>1125</v>
      </c>
      <c r="I5" s="8" t="str">
        <f t="shared" si="0"/>
        <v>Descartado</v>
      </c>
    </row>
    <row r="6" spans="1:9">
      <c r="A6" s="52"/>
      <c r="B6" s="57"/>
      <c r="C6" s="54"/>
      <c r="D6" s="55"/>
      <c r="E6" s="56"/>
      <c r="F6" s="56"/>
      <c r="G6" s="6"/>
      <c r="H6" s="7"/>
      <c r="I6" s="8" t="str">
        <f t="shared" si="0"/>
        <v/>
      </c>
    </row>
    <row r="7" spans="1:9">
      <c r="A7" s="52"/>
      <c r="B7" s="57"/>
      <c r="C7" s="54"/>
      <c r="D7" s="55"/>
      <c r="E7" s="56"/>
      <c r="F7" s="56"/>
      <c r="G7" s="6"/>
      <c r="H7" s="7"/>
      <c r="I7" s="8" t="str">
        <f t="shared" si="0"/>
        <v/>
      </c>
    </row>
    <row r="8" spans="1:9">
      <c r="A8" s="52"/>
      <c r="B8" s="57"/>
      <c r="C8" s="54"/>
      <c r="D8" s="55"/>
      <c r="E8" s="56"/>
      <c r="F8" s="56"/>
      <c r="G8" s="6"/>
      <c r="H8" s="7"/>
      <c r="I8" s="8" t="str">
        <f t="shared" si="0"/>
        <v/>
      </c>
    </row>
    <row r="9" spans="1:9">
      <c r="A9" s="52"/>
      <c r="B9" s="57"/>
      <c r="C9" s="54"/>
      <c r="D9" s="55"/>
      <c r="E9" s="56"/>
      <c r="F9" s="56"/>
      <c r="G9" s="6"/>
      <c r="H9" s="7"/>
      <c r="I9" s="8" t="str">
        <f t="shared" si="0"/>
        <v/>
      </c>
    </row>
    <row r="10" spans="1:9">
      <c r="A10" s="52"/>
      <c r="B10" s="57"/>
      <c r="C10" s="54"/>
      <c r="D10" s="55"/>
      <c r="E10" s="56"/>
      <c r="F10" s="56"/>
      <c r="G10" s="6"/>
      <c r="H10" s="7"/>
      <c r="I10" s="8" t="str">
        <f t="shared" si="0"/>
        <v/>
      </c>
    </row>
    <row r="11" spans="1:9">
      <c r="A11" s="52"/>
      <c r="B11" s="57"/>
      <c r="C11" s="54"/>
      <c r="D11" s="55"/>
      <c r="E11" s="56"/>
      <c r="F11" s="56"/>
      <c r="G11" s="6"/>
      <c r="H11" s="7"/>
      <c r="I11" s="8" t="str">
        <f t="shared" si="0"/>
        <v/>
      </c>
    </row>
    <row r="12" spans="1:9">
      <c r="A12" s="52"/>
      <c r="B12" s="57"/>
      <c r="C12" s="54"/>
      <c r="D12" s="55"/>
      <c r="E12" s="56"/>
      <c r="F12" s="56"/>
      <c r="G12" s="6"/>
      <c r="H12" s="7"/>
      <c r="I12" s="8" t="str">
        <f t="shared" si="0"/>
        <v/>
      </c>
    </row>
    <row r="13" spans="1:9">
      <c r="A13" s="52"/>
      <c r="B13" s="57"/>
      <c r="C13" s="54"/>
      <c r="D13" s="55"/>
      <c r="E13" s="56"/>
      <c r="F13" s="56"/>
      <c r="G13" s="6"/>
      <c r="H13" s="7"/>
      <c r="I13" s="8" t="str">
        <f t="shared" si="0"/>
        <v/>
      </c>
    </row>
    <row r="14" spans="1:9">
      <c r="A14" s="52"/>
      <c r="B14" s="57"/>
      <c r="C14" s="54"/>
      <c r="D14" s="55"/>
      <c r="E14" s="56"/>
      <c r="F14" s="56"/>
      <c r="G14" s="6"/>
      <c r="H14" s="7"/>
      <c r="I14" s="8" t="str">
        <f t="shared" si="0"/>
        <v/>
      </c>
    </row>
    <row r="15" spans="1:9">
      <c r="A15" s="52"/>
      <c r="B15" s="57"/>
      <c r="C15" s="54"/>
      <c r="D15" s="55"/>
      <c r="E15" s="56"/>
      <c r="F15" s="56"/>
      <c r="G15" s="6"/>
      <c r="H15" s="7"/>
      <c r="I15" s="8" t="str">
        <f t="shared" si="0"/>
        <v/>
      </c>
    </row>
    <row r="16" spans="1:9">
      <c r="A16" s="52"/>
      <c r="B16" s="57"/>
      <c r="C16" s="54"/>
      <c r="D16" s="55"/>
      <c r="E16" s="56"/>
      <c r="F16" s="56"/>
      <c r="G16" s="6"/>
      <c r="H16" s="7"/>
      <c r="I16" s="8" t="str">
        <f t="shared" si="0"/>
        <v/>
      </c>
    </row>
    <row r="17" spans="1:11">
      <c r="A17" s="52"/>
      <c r="B17" s="57"/>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16</v>
      </c>
      <c r="B19" s="5" t="s">
        <v>17</v>
      </c>
      <c r="C19" s="4" t="s">
        <v>18</v>
      </c>
      <c r="D19" s="16" t="s">
        <v>19</v>
      </c>
      <c r="E19" s="17" t="s">
        <v>20</v>
      </c>
      <c r="F19" s="16" t="s">
        <v>21</v>
      </c>
      <c r="G19" s="49" t="s">
        <v>22</v>
      </c>
      <c r="H19" s="49"/>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50"/>
      <c r="E22" s="50"/>
      <c r="F22" s="30"/>
      <c r="G22" s="31" t="s">
        <v>23</v>
      </c>
      <c r="H22" s="32">
        <f>IF(C20&lt;=25%,D20,MIN(E20:F20))</f>
        <v>757.25</v>
      </c>
    </row>
    <row r="23" spans="1:11">
      <c r="B23" s="25"/>
      <c r="C23" s="25"/>
      <c r="D23" s="50"/>
      <c r="E23" s="50"/>
      <c r="F23" s="33"/>
      <c r="G23" s="4" t="s">
        <v>24</v>
      </c>
      <c r="H23" s="24">
        <f>ROUND(H22,2)*D3</f>
        <v>7572.5</v>
      </c>
    </row>
    <row r="24" spans="1:11">
      <c r="B24" s="29"/>
      <c r="C24" s="29"/>
      <c r="D24" s="18"/>
      <c r="E24" s="18"/>
    </row>
    <row r="26" spans="1:11" ht="12.75" customHeight="1">
      <c r="A26" s="47" t="s">
        <v>25</v>
      </c>
      <c r="B26" s="47"/>
      <c r="C26" s="47"/>
      <c r="D26" s="47"/>
      <c r="E26" s="47"/>
      <c r="F26" s="47"/>
      <c r="G26" s="47"/>
      <c r="H26" s="47"/>
      <c r="I26" s="47"/>
    </row>
    <row r="27" spans="1:11" ht="12.75" customHeight="1">
      <c r="A27" s="47" t="s">
        <v>26</v>
      </c>
      <c r="B27" s="47"/>
      <c r="C27" s="47"/>
      <c r="D27" s="47"/>
      <c r="E27" s="47"/>
      <c r="F27" s="47"/>
      <c r="G27" s="47"/>
      <c r="H27" s="47"/>
      <c r="I27" s="47"/>
    </row>
    <row r="28" spans="1:11" ht="12.75" customHeight="1">
      <c r="A28" s="47" t="s">
        <v>27</v>
      </c>
      <c r="B28" s="47"/>
      <c r="C28" s="47"/>
      <c r="D28" s="47"/>
      <c r="E28" s="47"/>
      <c r="F28" s="47"/>
      <c r="G28" s="47"/>
      <c r="H28" s="47"/>
      <c r="I28" s="47"/>
    </row>
    <row r="29" spans="1:11" ht="12.75" customHeight="1">
      <c r="A29" s="47" t="s">
        <v>28</v>
      </c>
      <c r="B29" s="47"/>
      <c r="C29" s="47"/>
      <c r="D29" s="47"/>
      <c r="E29" s="47"/>
      <c r="F29" s="47"/>
      <c r="G29" s="47"/>
      <c r="H29" s="47"/>
      <c r="I29" s="47"/>
    </row>
    <row r="30" spans="1:11" ht="12.75" customHeight="1">
      <c r="A30" s="47" t="s">
        <v>29</v>
      </c>
      <c r="B30" s="47"/>
      <c r="C30" s="47"/>
      <c r="D30" s="47"/>
      <c r="E30" s="47"/>
      <c r="F30" s="47"/>
      <c r="G30" s="47"/>
      <c r="H30" s="47"/>
      <c r="I30" s="47"/>
    </row>
    <row r="31" spans="1:11" ht="12.75" customHeight="1">
      <c r="A31" s="47" t="s">
        <v>30</v>
      </c>
      <c r="B31" s="47"/>
      <c r="C31" s="47"/>
      <c r="D31" s="47"/>
      <c r="E31" s="47"/>
      <c r="F31" s="47"/>
      <c r="G31" s="47"/>
      <c r="H31" s="47"/>
      <c r="I31" s="47"/>
    </row>
    <row r="32" spans="1:11" ht="24.75" customHeight="1">
      <c r="A32" s="48" t="s">
        <v>31</v>
      </c>
      <c r="B32" s="48"/>
      <c r="C32" s="48"/>
      <c r="D32" s="48"/>
      <c r="E32" s="48"/>
      <c r="F32" s="48"/>
      <c r="G32" s="48"/>
      <c r="H32" s="48"/>
      <c r="I32" s="48"/>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51" t="s">
        <v>0</v>
      </c>
      <c r="B1" s="51"/>
      <c r="C1" s="51"/>
      <c r="D1" s="51"/>
      <c r="E1" s="51"/>
      <c r="F1" s="51"/>
      <c r="G1" s="51"/>
      <c r="H1" s="51"/>
      <c r="I1" s="51"/>
    </row>
    <row r="2" spans="1:9" ht="25.5">
      <c r="A2" s="52" t="s">
        <v>180</v>
      </c>
      <c r="B2" s="2" t="s">
        <v>2</v>
      </c>
      <c r="C2" s="2" t="s">
        <v>3</v>
      </c>
      <c r="D2" s="2" t="s">
        <v>4</v>
      </c>
      <c r="E2" s="3" t="s">
        <v>5</v>
      </c>
      <c r="F2" s="3" t="s">
        <v>6</v>
      </c>
      <c r="G2" s="2" t="s">
        <v>7</v>
      </c>
      <c r="H2" s="4" t="s">
        <v>8</v>
      </c>
      <c r="I2" s="5" t="s">
        <v>9</v>
      </c>
    </row>
    <row r="3" spans="1:9" ht="12.75" customHeight="1">
      <c r="A3" s="52"/>
      <c r="B3" s="57" t="s">
        <v>155</v>
      </c>
      <c r="C3" s="54" t="s">
        <v>41</v>
      </c>
      <c r="D3" s="55">
        <v>10</v>
      </c>
      <c r="E3" s="56">
        <f>IF(C20&lt;=25%,D20,MIN(E20:F20))</f>
        <v>757.25</v>
      </c>
      <c r="F3" s="56">
        <f>MIN(H3:H17)</f>
        <v>697.5</v>
      </c>
      <c r="G3" s="6" t="s">
        <v>156</v>
      </c>
      <c r="H3" s="7">
        <v>697.5</v>
      </c>
      <c r="I3" s="8">
        <f t="shared" ref="I3:I17" si="0">IF(H3="","",(IF($C$20&lt;25%,"N/A",IF(H3&lt;=($D$20+$A$20),H3,"Descartado"))))</f>
        <v>697.5</v>
      </c>
    </row>
    <row r="4" spans="1:9">
      <c r="A4" s="52"/>
      <c r="B4" s="57"/>
      <c r="C4" s="54"/>
      <c r="D4" s="55"/>
      <c r="E4" s="56"/>
      <c r="F4" s="56"/>
      <c r="G4" s="6" t="s">
        <v>157</v>
      </c>
      <c r="H4" s="7">
        <v>817</v>
      </c>
      <c r="I4" s="8">
        <f t="shared" si="0"/>
        <v>817</v>
      </c>
    </row>
    <row r="5" spans="1:9">
      <c r="A5" s="52"/>
      <c r="B5" s="57"/>
      <c r="C5" s="54"/>
      <c r="D5" s="55"/>
      <c r="E5" s="56"/>
      <c r="F5" s="56"/>
      <c r="G5" s="6" t="s">
        <v>158</v>
      </c>
      <c r="H5" s="7">
        <v>1125</v>
      </c>
      <c r="I5" s="8" t="str">
        <f t="shared" si="0"/>
        <v>Descartado</v>
      </c>
    </row>
    <row r="6" spans="1:9">
      <c r="A6" s="52"/>
      <c r="B6" s="57"/>
      <c r="C6" s="54"/>
      <c r="D6" s="55"/>
      <c r="E6" s="56"/>
      <c r="F6" s="56"/>
      <c r="G6" s="6"/>
      <c r="H6" s="7"/>
      <c r="I6" s="8" t="str">
        <f t="shared" si="0"/>
        <v/>
      </c>
    </row>
    <row r="7" spans="1:9">
      <c r="A7" s="52"/>
      <c r="B7" s="57"/>
      <c r="C7" s="54"/>
      <c r="D7" s="55"/>
      <c r="E7" s="56"/>
      <c r="F7" s="56"/>
      <c r="G7" s="6"/>
      <c r="H7" s="7"/>
      <c r="I7" s="8" t="str">
        <f t="shared" si="0"/>
        <v/>
      </c>
    </row>
    <row r="8" spans="1:9">
      <c r="A8" s="52"/>
      <c r="B8" s="57"/>
      <c r="C8" s="54"/>
      <c r="D8" s="55"/>
      <c r="E8" s="56"/>
      <c r="F8" s="56"/>
      <c r="G8" s="6"/>
      <c r="H8" s="7"/>
      <c r="I8" s="8" t="str">
        <f t="shared" si="0"/>
        <v/>
      </c>
    </row>
    <row r="9" spans="1:9">
      <c r="A9" s="52"/>
      <c r="B9" s="57"/>
      <c r="C9" s="54"/>
      <c r="D9" s="55"/>
      <c r="E9" s="56"/>
      <c r="F9" s="56"/>
      <c r="G9" s="6"/>
      <c r="H9" s="7"/>
      <c r="I9" s="8" t="str">
        <f t="shared" si="0"/>
        <v/>
      </c>
    </row>
    <row r="10" spans="1:9">
      <c r="A10" s="52"/>
      <c r="B10" s="57"/>
      <c r="C10" s="54"/>
      <c r="D10" s="55"/>
      <c r="E10" s="56"/>
      <c r="F10" s="56"/>
      <c r="G10" s="6"/>
      <c r="H10" s="7"/>
      <c r="I10" s="8" t="str">
        <f t="shared" si="0"/>
        <v/>
      </c>
    </row>
    <row r="11" spans="1:9">
      <c r="A11" s="52"/>
      <c r="B11" s="57"/>
      <c r="C11" s="54"/>
      <c r="D11" s="55"/>
      <c r="E11" s="56"/>
      <c r="F11" s="56"/>
      <c r="G11" s="6"/>
      <c r="H11" s="7"/>
      <c r="I11" s="8" t="str">
        <f t="shared" si="0"/>
        <v/>
      </c>
    </row>
    <row r="12" spans="1:9">
      <c r="A12" s="52"/>
      <c r="B12" s="57"/>
      <c r="C12" s="54"/>
      <c r="D12" s="55"/>
      <c r="E12" s="56"/>
      <c r="F12" s="56"/>
      <c r="G12" s="6"/>
      <c r="H12" s="7"/>
      <c r="I12" s="8" t="str">
        <f t="shared" si="0"/>
        <v/>
      </c>
    </row>
    <row r="13" spans="1:9">
      <c r="A13" s="52"/>
      <c r="B13" s="57"/>
      <c r="C13" s="54"/>
      <c r="D13" s="55"/>
      <c r="E13" s="56"/>
      <c r="F13" s="56"/>
      <c r="G13" s="6"/>
      <c r="H13" s="7"/>
      <c r="I13" s="8" t="str">
        <f t="shared" si="0"/>
        <v/>
      </c>
    </row>
    <row r="14" spans="1:9">
      <c r="A14" s="52"/>
      <c r="B14" s="57"/>
      <c r="C14" s="54"/>
      <c r="D14" s="55"/>
      <c r="E14" s="56"/>
      <c r="F14" s="56"/>
      <c r="G14" s="6"/>
      <c r="H14" s="7"/>
      <c r="I14" s="8" t="str">
        <f t="shared" si="0"/>
        <v/>
      </c>
    </row>
    <row r="15" spans="1:9">
      <c r="A15" s="52"/>
      <c r="B15" s="57"/>
      <c r="C15" s="54"/>
      <c r="D15" s="55"/>
      <c r="E15" s="56"/>
      <c r="F15" s="56"/>
      <c r="G15" s="6"/>
      <c r="H15" s="7"/>
      <c r="I15" s="8" t="str">
        <f t="shared" si="0"/>
        <v/>
      </c>
    </row>
    <row r="16" spans="1:9">
      <c r="A16" s="52"/>
      <c r="B16" s="57"/>
      <c r="C16" s="54"/>
      <c r="D16" s="55"/>
      <c r="E16" s="56"/>
      <c r="F16" s="56"/>
      <c r="G16" s="6"/>
      <c r="H16" s="7"/>
      <c r="I16" s="8" t="str">
        <f t="shared" si="0"/>
        <v/>
      </c>
    </row>
    <row r="17" spans="1:11">
      <c r="A17" s="52"/>
      <c r="B17" s="57"/>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16</v>
      </c>
      <c r="B19" s="5" t="s">
        <v>17</v>
      </c>
      <c r="C19" s="4" t="s">
        <v>18</v>
      </c>
      <c r="D19" s="16" t="s">
        <v>19</v>
      </c>
      <c r="E19" s="17" t="s">
        <v>20</v>
      </c>
      <c r="F19" s="16" t="s">
        <v>21</v>
      </c>
      <c r="G19" s="49" t="s">
        <v>22</v>
      </c>
      <c r="H19" s="49"/>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50"/>
      <c r="E22" s="50"/>
      <c r="F22" s="30"/>
      <c r="G22" s="31" t="s">
        <v>23</v>
      </c>
      <c r="H22" s="32">
        <f>IF(C20&lt;=25%,D20,MIN(E20:F20))</f>
        <v>757.25</v>
      </c>
    </row>
    <row r="23" spans="1:11">
      <c r="B23" s="25"/>
      <c r="C23" s="25"/>
      <c r="D23" s="50"/>
      <c r="E23" s="50"/>
      <c r="F23" s="33"/>
      <c r="G23" s="4" t="s">
        <v>24</v>
      </c>
      <c r="H23" s="24">
        <f>ROUND(H22,2)*D3</f>
        <v>7572.5</v>
      </c>
    </row>
    <row r="24" spans="1:11">
      <c r="B24" s="29"/>
      <c r="C24" s="29"/>
      <c r="D24" s="18"/>
      <c r="E24" s="18"/>
    </row>
    <row r="26" spans="1:11" ht="12.75" customHeight="1">
      <c r="A26" s="47" t="s">
        <v>25</v>
      </c>
      <c r="B26" s="47"/>
      <c r="C26" s="47"/>
      <c r="D26" s="47"/>
      <c r="E26" s="47"/>
      <c r="F26" s="47"/>
      <c r="G26" s="47"/>
      <c r="H26" s="47"/>
      <c r="I26" s="47"/>
    </row>
    <row r="27" spans="1:11" ht="12.75" customHeight="1">
      <c r="A27" s="47" t="s">
        <v>26</v>
      </c>
      <c r="B27" s="47"/>
      <c r="C27" s="47"/>
      <c r="D27" s="47"/>
      <c r="E27" s="47"/>
      <c r="F27" s="47"/>
      <c r="G27" s="47"/>
      <c r="H27" s="47"/>
      <c r="I27" s="47"/>
    </row>
    <row r="28" spans="1:11" ht="12.75" customHeight="1">
      <c r="A28" s="47" t="s">
        <v>27</v>
      </c>
      <c r="B28" s="47"/>
      <c r="C28" s="47"/>
      <c r="D28" s="47"/>
      <c r="E28" s="47"/>
      <c r="F28" s="47"/>
      <c r="G28" s="47"/>
      <c r="H28" s="47"/>
      <c r="I28" s="47"/>
    </row>
    <row r="29" spans="1:11" ht="12.75" customHeight="1">
      <c r="A29" s="47" t="s">
        <v>28</v>
      </c>
      <c r="B29" s="47"/>
      <c r="C29" s="47"/>
      <c r="D29" s="47"/>
      <c r="E29" s="47"/>
      <c r="F29" s="47"/>
      <c r="G29" s="47"/>
      <c r="H29" s="47"/>
      <c r="I29" s="47"/>
    </row>
    <row r="30" spans="1:11" ht="12.75" customHeight="1">
      <c r="A30" s="47" t="s">
        <v>29</v>
      </c>
      <c r="B30" s="47"/>
      <c r="C30" s="47"/>
      <c r="D30" s="47"/>
      <c r="E30" s="47"/>
      <c r="F30" s="47"/>
      <c r="G30" s="47"/>
      <c r="H30" s="47"/>
      <c r="I30" s="47"/>
    </row>
    <row r="31" spans="1:11" ht="12.75" customHeight="1">
      <c r="A31" s="47" t="s">
        <v>30</v>
      </c>
      <c r="B31" s="47"/>
      <c r="C31" s="47"/>
      <c r="D31" s="47"/>
      <c r="E31" s="47"/>
      <c r="F31" s="47"/>
      <c r="G31" s="47"/>
      <c r="H31" s="47"/>
      <c r="I31" s="47"/>
    </row>
    <row r="32" spans="1:11" ht="24.75" customHeight="1">
      <c r="A32" s="48" t="s">
        <v>31</v>
      </c>
      <c r="B32" s="48"/>
      <c r="C32" s="48"/>
      <c r="D32" s="48"/>
      <c r="E32" s="48"/>
      <c r="F32" s="48"/>
      <c r="G32" s="48"/>
      <c r="H32" s="48"/>
      <c r="I32" s="48"/>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51" t="s">
        <v>0</v>
      </c>
      <c r="B1" s="51"/>
      <c r="C1" s="51"/>
      <c r="D1" s="51"/>
      <c r="E1" s="51"/>
      <c r="F1" s="51"/>
      <c r="G1" s="51"/>
      <c r="H1" s="51"/>
      <c r="I1" s="51"/>
    </row>
    <row r="2" spans="1:9" ht="25.5">
      <c r="A2" s="52" t="s">
        <v>181</v>
      </c>
      <c r="B2" s="2" t="s">
        <v>2</v>
      </c>
      <c r="C2" s="2" t="s">
        <v>3</v>
      </c>
      <c r="D2" s="2" t="s">
        <v>4</v>
      </c>
      <c r="E2" s="3" t="s">
        <v>5</v>
      </c>
      <c r="F2" s="3" t="s">
        <v>6</v>
      </c>
      <c r="G2" s="2" t="s">
        <v>7</v>
      </c>
      <c r="H2" s="4" t="s">
        <v>8</v>
      </c>
      <c r="I2" s="5" t="s">
        <v>9</v>
      </c>
    </row>
    <row r="3" spans="1:9" ht="12.75" customHeight="1">
      <c r="A3" s="52"/>
      <c r="B3" s="57" t="s">
        <v>155</v>
      </c>
      <c r="C3" s="54" t="s">
        <v>41</v>
      </c>
      <c r="D3" s="55">
        <v>10</v>
      </c>
      <c r="E3" s="56">
        <f>IF(C20&lt;=25%,D20,MIN(E20:F20))</f>
        <v>757.25</v>
      </c>
      <c r="F3" s="56">
        <f>MIN(H3:H17)</f>
        <v>697.5</v>
      </c>
      <c r="G3" s="6" t="s">
        <v>156</v>
      </c>
      <c r="H3" s="7">
        <v>697.5</v>
      </c>
      <c r="I3" s="8">
        <f t="shared" ref="I3:I17" si="0">IF(H3="","",(IF($C$20&lt;25%,"N/A",IF(H3&lt;=($D$20+$A$20),H3,"Descartado"))))</f>
        <v>697.5</v>
      </c>
    </row>
    <row r="4" spans="1:9">
      <c r="A4" s="52"/>
      <c r="B4" s="57"/>
      <c r="C4" s="54"/>
      <c r="D4" s="55"/>
      <c r="E4" s="56"/>
      <c r="F4" s="56"/>
      <c r="G4" s="6" t="s">
        <v>157</v>
      </c>
      <c r="H4" s="7">
        <v>817</v>
      </c>
      <c r="I4" s="8">
        <f t="shared" si="0"/>
        <v>817</v>
      </c>
    </row>
    <row r="5" spans="1:9">
      <c r="A5" s="52"/>
      <c r="B5" s="57"/>
      <c r="C5" s="54"/>
      <c r="D5" s="55"/>
      <c r="E5" s="56"/>
      <c r="F5" s="56"/>
      <c r="G5" s="6" t="s">
        <v>158</v>
      </c>
      <c r="H5" s="7">
        <v>1125</v>
      </c>
      <c r="I5" s="8" t="str">
        <f t="shared" si="0"/>
        <v>Descartado</v>
      </c>
    </row>
    <row r="6" spans="1:9">
      <c r="A6" s="52"/>
      <c r="B6" s="57"/>
      <c r="C6" s="54"/>
      <c r="D6" s="55"/>
      <c r="E6" s="56"/>
      <c r="F6" s="56"/>
      <c r="G6" s="6"/>
      <c r="H6" s="7"/>
      <c r="I6" s="8" t="str">
        <f t="shared" si="0"/>
        <v/>
      </c>
    </row>
    <row r="7" spans="1:9">
      <c r="A7" s="52"/>
      <c r="B7" s="57"/>
      <c r="C7" s="54"/>
      <c r="D7" s="55"/>
      <c r="E7" s="56"/>
      <c r="F7" s="56"/>
      <c r="G7" s="6"/>
      <c r="H7" s="7"/>
      <c r="I7" s="8" t="str">
        <f t="shared" si="0"/>
        <v/>
      </c>
    </row>
    <row r="8" spans="1:9">
      <c r="A8" s="52"/>
      <c r="B8" s="57"/>
      <c r="C8" s="54"/>
      <c r="D8" s="55"/>
      <c r="E8" s="56"/>
      <c r="F8" s="56"/>
      <c r="G8" s="6"/>
      <c r="H8" s="7"/>
      <c r="I8" s="8" t="str">
        <f t="shared" si="0"/>
        <v/>
      </c>
    </row>
    <row r="9" spans="1:9">
      <c r="A9" s="52"/>
      <c r="B9" s="57"/>
      <c r="C9" s="54"/>
      <c r="D9" s="55"/>
      <c r="E9" s="56"/>
      <c r="F9" s="56"/>
      <c r="G9" s="6"/>
      <c r="H9" s="7"/>
      <c r="I9" s="8" t="str">
        <f t="shared" si="0"/>
        <v/>
      </c>
    </row>
    <row r="10" spans="1:9">
      <c r="A10" s="52"/>
      <c r="B10" s="57"/>
      <c r="C10" s="54"/>
      <c r="D10" s="55"/>
      <c r="E10" s="56"/>
      <c r="F10" s="56"/>
      <c r="G10" s="6"/>
      <c r="H10" s="7"/>
      <c r="I10" s="8" t="str">
        <f t="shared" si="0"/>
        <v/>
      </c>
    </row>
    <row r="11" spans="1:9">
      <c r="A11" s="52"/>
      <c r="B11" s="57"/>
      <c r="C11" s="54"/>
      <c r="D11" s="55"/>
      <c r="E11" s="56"/>
      <c r="F11" s="56"/>
      <c r="G11" s="6"/>
      <c r="H11" s="7"/>
      <c r="I11" s="8" t="str">
        <f t="shared" si="0"/>
        <v/>
      </c>
    </row>
    <row r="12" spans="1:9">
      <c r="A12" s="52"/>
      <c r="B12" s="57"/>
      <c r="C12" s="54"/>
      <c r="D12" s="55"/>
      <c r="E12" s="56"/>
      <c r="F12" s="56"/>
      <c r="G12" s="6"/>
      <c r="H12" s="7"/>
      <c r="I12" s="8" t="str">
        <f t="shared" si="0"/>
        <v/>
      </c>
    </row>
    <row r="13" spans="1:9">
      <c r="A13" s="52"/>
      <c r="B13" s="57"/>
      <c r="C13" s="54"/>
      <c r="D13" s="55"/>
      <c r="E13" s="56"/>
      <c r="F13" s="56"/>
      <c r="G13" s="6"/>
      <c r="H13" s="7"/>
      <c r="I13" s="8" t="str">
        <f t="shared" si="0"/>
        <v/>
      </c>
    </row>
    <row r="14" spans="1:9">
      <c r="A14" s="52"/>
      <c r="B14" s="57"/>
      <c r="C14" s="54"/>
      <c r="D14" s="55"/>
      <c r="E14" s="56"/>
      <c r="F14" s="56"/>
      <c r="G14" s="6"/>
      <c r="H14" s="7"/>
      <c r="I14" s="8" t="str">
        <f t="shared" si="0"/>
        <v/>
      </c>
    </row>
    <row r="15" spans="1:9">
      <c r="A15" s="52"/>
      <c r="B15" s="57"/>
      <c r="C15" s="54"/>
      <c r="D15" s="55"/>
      <c r="E15" s="56"/>
      <c r="F15" s="56"/>
      <c r="G15" s="6"/>
      <c r="H15" s="7"/>
      <c r="I15" s="8" t="str">
        <f t="shared" si="0"/>
        <v/>
      </c>
    </row>
    <row r="16" spans="1:9">
      <c r="A16" s="52"/>
      <c r="B16" s="57"/>
      <c r="C16" s="54"/>
      <c r="D16" s="55"/>
      <c r="E16" s="56"/>
      <c r="F16" s="56"/>
      <c r="G16" s="6"/>
      <c r="H16" s="7"/>
      <c r="I16" s="8" t="str">
        <f t="shared" si="0"/>
        <v/>
      </c>
    </row>
    <row r="17" spans="1:11">
      <c r="A17" s="52"/>
      <c r="B17" s="57"/>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16</v>
      </c>
      <c r="B19" s="5" t="s">
        <v>17</v>
      </c>
      <c r="C19" s="4" t="s">
        <v>18</v>
      </c>
      <c r="D19" s="16" t="s">
        <v>19</v>
      </c>
      <c r="E19" s="17" t="s">
        <v>20</v>
      </c>
      <c r="F19" s="16" t="s">
        <v>21</v>
      </c>
      <c r="G19" s="49" t="s">
        <v>22</v>
      </c>
      <c r="H19" s="49"/>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50"/>
      <c r="E22" s="50"/>
      <c r="F22" s="30"/>
      <c r="G22" s="31" t="s">
        <v>23</v>
      </c>
      <c r="H22" s="32">
        <f>IF(C20&lt;=25%,D20,MIN(E20:F20))</f>
        <v>757.25</v>
      </c>
    </row>
    <row r="23" spans="1:11">
      <c r="B23" s="25"/>
      <c r="C23" s="25"/>
      <c r="D23" s="50"/>
      <c r="E23" s="50"/>
      <c r="F23" s="33"/>
      <c r="G23" s="4" t="s">
        <v>24</v>
      </c>
      <c r="H23" s="24">
        <f>ROUND(H22,2)*D3</f>
        <v>7572.5</v>
      </c>
    </row>
    <row r="24" spans="1:11">
      <c r="B24" s="29"/>
      <c r="C24" s="29"/>
      <c r="D24" s="18"/>
      <c r="E24" s="18"/>
    </row>
    <row r="26" spans="1:11" ht="12.75" customHeight="1">
      <c r="A26" s="47" t="s">
        <v>25</v>
      </c>
      <c r="B26" s="47"/>
      <c r="C26" s="47"/>
      <c r="D26" s="47"/>
      <c r="E26" s="47"/>
      <c r="F26" s="47"/>
      <c r="G26" s="47"/>
      <c r="H26" s="47"/>
      <c r="I26" s="47"/>
    </row>
    <row r="27" spans="1:11" ht="12.75" customHeight="1">
      <c r="A27" s="47" t="s">
        <v>26</v>
      </c>
      <c r="B27" s="47"/>
      <c r="C27" s="47"/>
      <c r="D27" s="47"/>
      <c r="E27" s="47"/>
      <c r="F27" s="47"/>
      <c r="G27" s="47"/>
      <c r="H27" s="47"/>
      <c r="I27" s="47"/>
    </row>
    <row r="28" spans="1:11" ht="12.75" customHeight="1">
      <c r="A28" s="47" t="s">
        <v>27</v>
      </c>
      <c r="B28" s="47"/>
      <c r="C28" s="47"/>
      <c r="D28" s="47"/>
      <c r="E28" s="47"/>
      <c r="F28" s="47"/>
      <c r="G28" s="47"/>
      <c r="H28" s="47"/>
      <c r="I28" s="47"/>
    </row>
    <row r="29" spans="1:11" ht="12.75" customHeight="1">
      <c r="A29" s="47" t="s">
        <v>28</v>
      </c>
      <c r="B29" s="47"/>
      <c r="C29" s="47"/>
      <c r="D29" s="47"/>
      <c r="E29" s="47"/>
      <c r="F29" s="47"/>
      <c r="G29" s="47"/>
      <c r="H29" s="47"/>
      <c r="I29" s="47"/>
    </row>
    <row r="30" spans="1:11" ht="12.75" customHeight="1">
      <c r="A30" s="47" t="s">
        <v>29</v>
      </c>
      <c r="B30" s="47"/>
      <c r="C30" s="47"/>
      <c r="D30" s="47"/>
      <c r="E30" s="47"/>
      <c r="F30" s="47"/>
      <c r="G30" s="47"/>
      <c r="H30" s="47"/>
      <c r="I30" s="47"/>
    </row>
    <row r="31" spans="1:11" ht="12.75" customHeight="1">
      <c r="A31" s="47" t="s">
        <v>30</v>
      </c>
      <c r="B31" s="47"/>
      <c r="C31" s="47"/>
      <c r="D31" s="47"/>
      <c r="E31" s="47"/>
      <c r="F31" s="47"/>
      <c r="G31" s="47"/>
      <c r="H31" s="47"/>
      <c r="I31" s="47"/>
    </row>
    <row r="32" spans="1:11" ht="24.75" customHeight="1">
      <c r="A32" s="48" t="s">
        <v>31</v>
      </c>
      <c r="B32" s="48"/>
      <c r="C32" s="48"/>
      <c r="D32" s="48"/>
      <c r="E32" s="48"/>
      <c r="F32" s="48"/>
      <c r="G32" s="48"/>
      <c r="H32" s="48"/>
      <c r="I32" s="48"/>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51" t="s">
        <v>0</v>
      </c>
      <c r="B1" s="51"/>
      <c r="C1" s="51"/>
      <c r="D1" s="51"/>
      <c r="E1" s="51"/>
      <c r="F1" s="51"/>
      <c r="G1" s="51"/>
      <c r="H1" s="51"/>
      <c r="I1" s="51"/>
    </row>
    <row r="2" spans="1:9" ht="25.5">
      <c r="A2" s="52" t="s">
        <v>182</v>
      </c>
      <c r="B2" s="2" t="s">
        <v>2</v>
      </c>
      <c r="C2" s="2" t="s">
        <v>3</v>
      </c>
      <c r="D2" s="2" t="s">
        <v>4</v>
      </c>
      <c r="E2" s="3" t="s">
        <v>5</v>
      </c>
      <c r="F2" s="3" t="s">
        <v>6</v>
      </c>
      <c r="G2" s="2" t="s">
        <v>7</v>
      </c>
      <c r="H2" s="4" t="s">
        <v>8</v>
      </c>
      <c r="I2" s="5" t="s">
        <v>9</v>
      </c>
    </row>
    <row r="3" spans="1:9" ht="12.75" customHeight="1">
      <c r="A3" s="52"/>
      <c r="B3" s="57" t="s">
        <v>155</v>
      </c>
      <c r="C3" s="54" t="s">
        <v>41</v>
      </c>
      <c r="D3" s="55">
        <v>10</v>
      </c>
      <c r="E3" s="56">
        <f>IF(C20&lt;=25%,D20,MIN(E20:F20))</f>
        <v>757.25</v>
      </c>
      <c r="F3" s="56">
        <f>MIN(H3:H17)</f>
        <v>697.5</v>
      </c>
      <c r="G3" s="6" t="s">
        <v>156</v>
      </c>
      <c r="H3" s="7">
        <v>697.5</v>
      </c>
      <c r="I3" s="8">
        <f t="shared" ref="I3:I17" si="0">IF(H3="","",(IF($C$20&lt;25%,"N/A",IF(H3&lt;=($D$20+$A$20),H3,"Descartado"))))</f>
        <v>697.5</v>
      </c>
    </row>
    <row r="4" spans="1:9">
      <c r="A4" s="52"/>
      <c r="B4" s="57"/>
      <c r="C4" s="54"/>
      <c r="D4" s="55"/>
      <c r="E4" s="56"/>
      <c r="F4" s="56"/>
      <c r="G4" s="6" t="s">
        <v>157</v>
      </c>
      <c r="H4" s="7">
        <v>817</v>
      </c>
      <c r="I4" s="8">
        <f t="shared" si="0"/>
        <v>817</v>
      </c>
    </row>
    <row r="5" spans="1:9">
      <c r="A5" s="52"/>
      <c r="B5" s="57"/>
      <c r="C5" s="54"/>
      <c r="D5" s="55"/>
      <c r="E5" s="56"/>
      <c r="F5" s="56"/>
      <c r="G5" s="6" t="s">
        <v>158</v>
      </c>
      <c r="H5" s="7">
        <v>1125</v>
      </c>
      <c r="I5" s="8" t="str">
        <f t="shared" si="0"/>
        <v>Descartado</v>
      </c>
    </row>
    <row r="6" spans="1:9">
      <c r="A6" s="52"/>
      <c r="B6" s="57"/>
      <c r="C6" s="54"/>
      <c r="D6" s="55"/>
      <c r="E6" s="56"/>
      <c r="F6" s="56"/>
      <c r="G6" s="6"/>
      <c r="H6" s="7"/>
      <c r="I6" s="8" t="str">
        <f t="shared" si="0"/>
        <v/>
      </c>
    </row>
    <row r="7" spans="1:9">
      <c r="A7" s="52"/>
      <c r="B7" s="57"/>
      <c r="C7" s="54"/>
      <c r="D7" s="55"/>
      <c r="E7" s="56"/>
      <c r="F7" s="56"/>
      <c r="G7" s="6"/>
      <c r="H7" s="7"/>
      <c r="I7" s="8" t="str">
        <f t="shared" si="0"/>
        <v/>
      </c>
    </row>
    <row r="8" spans="1:9">
      <c r="A8" s="52"/>
      <c r="B8" s="57"/>
      <c r="C8" s="54"/>
      <c r="D8" s="55"/>
      <c r="E8" s="56"/>
      <c r="F8" s="56"/>
      <c r="G8" s="6"/>
      <c r="H8" s="7"/>
      <c r="I8" s="8" t="str">
        <f t="shared" si="0"/>
        <v/>
      </c>
    </row>
    <row r="9" spans="1:9">
      <c r="A9" s="52"/>
      <c r="B9" s="57"/>
      <c r="C9" s="54"/>
      <c r="D9" s="55"/>
      <c r="E9" s="56"/>
      <c r="F9" s="56"/>
      <c r="G9" s="6"/>
      <c r="H9" s="7"/>
      <c r="I9" s="8" t="str">
        <f t="shared" si="0"/>
        <v/>
      </c>
    </row>
    <row r="10" spans="1:9">
      <c r="A10" s="52"/>
      <c r="B10" s="57"/>
      <c r="C10" s="54"/>
      <c r="D10" s="55"/>
      <c r="E10" s="56"/>
      <c r="F10" s="56"/>
      <c r="G10" s="6"/>
      <c r="H10" s="7"/>
      <c r="I10" s="8" t="str">
        <f t="shared" si="0"/>
        <v/>
      </c>
    </row>
    <row r="11" spans="1:9">
      <c r="A11" s="52"/>
      <c r="B11" s="57"/>
      <c r="C11" s="54"/>
      <c r="D11" s="55"/>
      <c r="E11" s="56"/>
      <c r="F11" s="56"/>
      <c r="G11" s="6"/>
      <c r="H11" s="7"/>
      <c r="I11" s="8" t="str">
        <f t="shared" si="0"/>
        <v/>
      </c>
    </row>
    <row r="12" spans="1:9">
      <c r="A12" s="52"/>
      <c r="B12" s="57"/>
      <c r="C12" s="54"/>
      <c r="D12" s="55"/>
      <c r="E12" s="56"/>
      <c r="F12" s="56"/>
      <c r="G12" s="6"/>
      <c r="H12" s="7"/>
      <c r="I12" s="8" t="str">
        <f t="shared" si="0"/>
        <v/>
      </c>
    </row>
    <row r="13" spans="1:9">
      <c r="A13" s="52"/>
      <c r="B13" s="57"/>
      <c r="C13" s="54"/>
      <c r="D13" s="55"/>
      <c r="E13" s="56"/>
      <c r="F13" s="56"/>
      <c r="G13" s="6"/>
      <c r="H13" s="7"/>
      <c r="I13" s="8" t="str">
        <f t="shared" si="0"/>
        <v/>
      </c>
    </row>
    <row r="14" spans="1:9">
      <c r="A14" s="52"/>
      <c r="B14" s="57"/>
      <c r="C14" s="54"/>
      <c r="D14" s="55"/>
      <c r="E14" s="56"/>
      <c r="F14" s="56"/>
      <c r="G14" s="6"/>
      <c r="H14" s="7"/>
      <c r="I14" s="8" t="str">
        <f t="shared" si="0"/>
        <v/>
      </c>
    </row>
    <row r="15" spans="1:9">
      <c r="A15" s="52"/>
      <c r="B15" s="57"/>
      <c r="C15" s="54"/>
      <c r="D15" s="55"/>
      <c r="E15" s="56"/>
      <c r="F15" s="56"/>
      <c r="G15" s="6"/>
      <c r="H15" s="7"/>
      <c r="I15" s="8" t="str">
        <f t="shared" si="0"/>
        <v/>
      </c>
    </row>
    <row r="16" spans="1:9">
      <c r="A16" s="52"/>
      <c r="B16" s="57"/>
      <c r="C16" s="54"/>
      <c r="D16" s="55"/>
      <c r="E16" s="56"/>
      <c r="F16" s="56"/>
      <c r="G16" s="6"/>
      <c r="H16" s="7"/>
      <c r="I16" s="8" t="str">
        <f t="shared" si="0"/>
        <v/>
      </c>
    </row>
    <row r="17" spans="1:11">
      <c r="A17" s="52"/>
      <c r="B17" s="57"/>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16</v>
      </c>
      <c r="B19" s="5" t="s">
        <v>17</v>
      </c>
      <c r="C19" s="4" t="s">
        <v>18</v>
      </c>
      <c r="D19" s="16" t="s">
        <v>19</v>
      </c>
      <c r="E19" s="17" t="s">
        <v>20</v>
      </c>
      <c r="F19" s="16" t="s">
        <v>21</v>
      </c>
      <c r="G19" s="49" t="s">
        <v>22</v>
      </c>
      <c r="H19" s="49"/>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50"/>
      <c r="E22" s="50"/>
      <c r="F22" s="30"/>
      <c r="G22" s="31" t="s">
        <v>23</v>
      </c>
      <c r="H22" s="32">
        <f>IF(C20&lt;=25%,D20,MIN(E20:F20))</f>
        <v>757.25</v>
      </c>
    </row>
    <row r="23" spans="1:11">
      <c r="B23" s="25"/>
      <c r="C23" s="25"/>
      <c r="D23" s="50"/>
      <c r="E23" s="50"/>
      <c r="F23" s="33"/>
      <c r="G23" s="4" t="s">
        <v>24</v>
      </c>
      <c r="H23" s="24">
        <f>ROUND(H22,2)*D3</f>
        <v>7572.5</v>
      </c>
    </row>
    <row r="24" spans="1:11">
      <c r="B24" s="29"/>
      <c r="C24" s="29"/>
      <c r="D24" s="18"/>
      <c r="E24" s="18"/>
    </row>
    <row r="26" spans="1:11" ht="12.75" customHeight="1">
      <c r="A26" s="47" t="s">
        <v>25</v>
      </c>
      <c r="B26" s="47"/>
      <c r="C26" s="47"/>
      <c r="D26" s="47"/>
      <c r="E26" s="47"/>
      <c r="F26" s="47"/>
      <c r="G26" s="47"/>
      <c r="H26" s="47"/>
      <c r="I26" s="47"/>
    </row>
    <row r="27" spans="1:11" ht="12.75" customHeight="1">
      <c r="A27" s="47" t="s">
        <v>26</v>
      </c>
      <c r="B27" s="47"/>
      <c r="C27" s="47"/>
      <c r="D27" s="47"/>
      <c r="E27" s="47"/>
      <c r="F27" s="47"/>
      <c r="G27" s="47"/>
      <c r="H27" s="47"/>
      <c r="I27" s="47"/>
    </row>
    <row r="28" spans="1:11" ht="12.75" customHeight="1">
      <c r="A28" s="47" t="s">
        <v>27</v>
      </c>
      <c r="B28" s="47"/>
      <c r="C28" s="47"/>
      <c r="D28" s="47"/>
      <c r="E28" s="47"/>
      <c r="F28" s="47"/>
      <c r="G28" s="47"/>
      <c r="H28" s="47"/>
      <c r="I28" s="47"/>
    </row>
    <row r="29" spans="1:11" ht="12.75" customHeight="1">
      <c r="A29" s="47" t="s">
        <v>28</v>
      </c>
      <c r="B29" s="47"/>
      <c r="C29" s="47"/>
      <c r="D29" s="47"/>
      <c r="E29" s="47"/>
      <c r="F29" s="47"/>
      <c r="G29" s="47"/>
      <c r="H29" s="47"/>
      <c r="I29" s="47"/>
    </row>
    <row r="30" spans="1:11" ht="12.75" customHeight="1">
      <c r="A30" s="47" t="s">
        <v>29</v>
      </c>
      <c r="B30" s="47"/>
      <c r="C30" s="47"/>
      <c r="D30" s="47"/>
      <c r="E30" s="47"/>
      <c r="F30" s="47"/>
      <c r="G30" s="47"/>
      <c r="H30" s="47"/>
      <c r="I30" s="47"/>
    </row>
    <row r="31" spans="1:11" ht="12.75" customHeight="1">
      <c r="A31" s="47" t="s">
        <v>30</v>
      </c>
      <c r="B31" s="47"/>
      <c r="C31" s="47"/>
      <c r="D31" s="47"/>
      <c r="E31" s="47"/>
      <c r="F31" s="47"/>
      <c r="G31" s="47"/>
      <c r="H31" s="47"/>
      <c r="I31" s="47"/>
    </row>
    <row r="32" spans="1:11" ht="24.75" customHeight="1">
      <c r="A32" s="48" t="s">
        <v>31</v>
      </c>
      <c r="B32" s="48"/>
      <c r="C32" s="48"/>
      <c r="D32" s="48"/>
      <c r="E32" s="48"/>
      <c r="F32" s="48"/>
      <c r="G32" s="48"/>
      <c r="H32" s="48"/>
      <c r="I32" s="48"/>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H11" sqref="H11"/>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51" t="s">
        <v>0</v>
      </c>
      <c r="B1" s="51"/>
      <c r="C1" s="51"/>
      <c r="D1" s="51"/>
      <c r="E1" s="51"/>
      <c r="F1" s="51"/>
      <c r="G1" s="51"/>
      <c r="H1" s="51"/>
      <c r="I1" s="51"/>
    </row>
    <row r="2" spans="1:9" ht="25.5">
      <c r="A2" s="52" t="s">
        <v>55</v>
      </c>
      <c r="B2" s="2" t="s">
        <v>2</v>
      </c>
      <c r="C2" s="2" t="s">
        <v>3</v>
      </c>
      <c r="D2" s="2" t="s">
        <v>4</v>
      </c>
      <c r="E2" s="3" t="s">
        <v>5</v>
      </c>
      <c r="F2" s="3" t="s">
        <v>6</v>
      </c>
      <c r="G2" s="2" t="s">
        <v>7</v>
      </c>
      <c r="H2" s="4" t="s">
        <v>8</v>
      </c>
      <c r="I2" s="5" t="s">
        <v>9</v>
      </c>
    </row>
    <row r="3" spans="1:9" ht="12.75" customHeight="1">
      <c r="A3" s="52"/>
      <c r="B3" s="57" t="s">
        <v>56</v>
      </c>
      <c r="C3" s="54" t="s">
        <v>3</v>
      </c>
      <c r="D3" s="55">
        <f>20000*0.25</f>
        <v>5000</v>
      </c>
      <c r="E3" s="56">
        <f>IF(C20&lt;=25%,D20,MIN(E20:F20))</f>
        <v>4.68</v>
      </c>
      <c r="F3" s="56">
        <f>MIN(H3:H17)</f>
        <v>1.5949660299999999</v>
      </c>
      <c r="G3" s="6" t="s">
        <v>57</v>
      </c>
      <c r="H3" s="7">
        <f>1.49*1.070447</f>
        <v>1.5949660299999999</v>
      </c>
      <c r="I3" s="8">
        <f t="shared" ref="I3:I17" si="0">IF(H3="","",(IF($C$20&lt;25%,"N/A",IF(H3&lt;=($D$20+$A$20),H3,"Descartado"))))</f>
        <v>1.5949660299999999</v>
      </c>
    </row>
    <row r="4" spans="1:9">
      <c r="A4" s="52"/>
      <c r="B4" s="57"/>
      <c r="C4" s="54"/>
      <c r="D4" s="55"/>
      <c r="E4" s="56"/>
      <c r="F4" s="56"/>
      <c r="G4" s="6" t="s">
        <v>58</v>
      </c>
      <c r="H4" s="7">
        <f>9*1.070447</f>
        <v>9.6340229999999991</v>
      </c>
      <c r="I4" s="8" t="str">
        <f t="shared" si="0"/>
        <v>Descartado</v>
      </c>
    </row>
    <row r="5" spans="1:9">
      <c r="A5" s="52"/>
      <c r="B5" s="57"/>
      <c r="C5" s="54"/>
      <c r="D5" s="55"/>
      <c r="E5" s="56"/>
      <c r="F5" s="56"/>
      <c r="G5" s="6" t="s">
        <v>59</v>
      </c>
      <c r="H5" s="7">
        <f>5.65*1.070447</f>
        <v>6.0480255500000002</v>
      </c>
      <c r="I5" s="8">
        <f t="shared" si="0"/>
        <v>6.0480255500000002</v>
      </c>
    </row>
    <row r="6" spans="1:9">
      <c r="A6" s="52"/>
      <c r="B6" s="57"/>
      <c r="C6" s="54"/>
      <c r="D6" s="55"/>
      <c r="E6" s="56"/>
      <c r="F6" s="56"/>
      <c r="G6" s="6" t="s">
        <v>60</v>
      </c>
      <c r="H6" s="7">
        <f>3.95*1.070447</f>
        <v>4.22826565</v>
      </c>
      <c r="I6" s="8">
        <f t="shared" si="0"/>
        <v>4.22826565</v>
      </c>
    </row>
    <row r="7" spans="1:9">
      <c r="A7" s="52"/>
      <c r="B7" s="57"/>
      <c r="C7" s="54"/>
      <c r="D7" s="55"/>
      <c r="E7" s="56"/>
      <c r="F7" s="56"/>
      <c r="G7" s="6" t="s">
        <v>61</v>
      </c>
      <c r="H7" s="7">
        <f>2.2*1.070447</f>
        <v>2.3549834000000001</v>
      </c>
      <c r="I7" s="8">
        <f t="shared" si="0"/>
        <v>2.3549834000000001</v>
      </c>
    </row>
    <row r="8" spans="1:9">
      <c r="A8" s="52"/>
      <c r="B8" s="57"/>
      <c r="C8" s="54"/>
      <c r="D8" s="55"/>
      <c r="E8" s="56"/>
      <c r="F8" s="56"/>
      <c r="G8" s="6" t="s">
        <v>62</v>
      </c>
      <c r="H8" s="7">
        <f>6.1*1.070447</f>
        <v>6.5297266999999994</v>
      </c>
      <c r="I8" s="8">
        <f t="shared" si="0"/>
        <v>6.5297266999999994</v>
      </c>
    </row>
    <row r="9" spans="1:9">
      <c r="A9" s="52"/>
      <c r="B9" s="57"/>
      <c r="C9" s="54"/>
      <c r="D9" s="55"/>
      <c r="E9" s="56"/>
      <c r="F9" s="56"/>
      <c r="G9" s="6" t="s">
        <v>63</v>
      </c>
      <c r="H9" s="7">
        <f>4.66*1.070447</f>
        <v>4.9882830199999999</v>
      </c>
      <c r="I9" s="8">
        <f t="shared" si="0"/>
        <v>4.9882830199999999</v>
      </c>
    </row>
    <row r="10" spans="1:9">
      <c r="A10" s="52"/>
      <c r="B10" s="57"/>
      <c r="C10" s="54"/>
      <c r="D10" s="55"/>
      <c r="E10" s="56"/>
      <c r="F10" s="56"/>
      <c r="G10" s="6" t="s">
        <v>64</v>
      </c>
      <c r="H10" s="7">
        <f>6.53*1.070447</f>
        <v>6.9900189099999999</v>
      </c>
      <c r="I10" s="8">
        <f t="shared" si="0"/>
        <v>6.9900189099999999</v>
      </c>
    </row>
    <row r="11" spans="1:9">
      <c r="A11" s="52"/>
      <c r="B11" s="57"/>
      <c r="C11" s="54"/>
      <c r="D11" s="55"/>
      <c r="E11" s="56"/>
      <c r="F11" s="56"/>
      <c r="G11" s="6"/>
      <c r="H11" s="7"/>
      <c r="I11" s="8" t="str">
        <f t="shared" si="0"/>
        <v/>
      </c>
    </row>
    <row r="12" spans="1:9">
      <c r="A12" s="52"/>
      <c r="B12" s="57"/>
      <c r="C12" s="54"/>
      <c r="D12" s="55"/>
      <c r="E12" s="56"/>
      <c r="F12" s="56"/>
      <c r="G12" s="6"/>
      <c r="H12" s="7"/>
      <c r="I12" s="8" t="str">
        <f t="shared" si="0"/>
        <v/>
      </c>
    </row>
    <row r="13" spans="1:9">
      <c r="A13" s="52"/>
      <c r="B13" s="57"/>
      <c r="C13" s="54"/>
      <c r="D13" s="55"/>
      <c r="E13" s="56"/>
      <c r="F13" s="56"/>
      <c r="G13" s="6"/>
      <c r="H13" s="7"/>
      <c r="I13" s="8" t="str">
        <f t="shared" si="0"/>
        <v/>
      </c>
    </row>
    <row r="14" spans="1:9">
      <c r="A14" s="52"/>
      <c r="B14" s="57"/>
      <c r="C14" s="54"/>
      <c r="D14" s="55"/>
      <c r="E14" s="56"/>
      <c r="F14" s="56"/>
      <c r="G14" s="6"/>
      <c r="H14" s="7"/>
      <c r="I14" s="8" t="str">
        <f t="shared" si="0"/>
        <v/>
      </c>
    </row>
    <row r="15" spans="1:9">
      <c r="A15" s="52"/>
      <c r="B15" s="57"/>
      <c r="C15" s="54"/>
      <c r="D15" s="55"/>
      <c r="E15" s="56"/>
      <c r="F15" s="56"/>
      <c r="G15" s="6"/>
      <c r="H15" s="7"/>
      <c r="I15" s="8" t="str">
        <f t="shared" si="0"/>
        <v/>
      </c>
    </row>
    <row r="16" spans="1:9">
      <c r="A16" s="52"/>
      <c r="B16" s="57"/>
      <c r="C16" s="54"/>
      <c r="D16" s="55"/>
      <c r="E16" s="56"/>
      <c r="F16" s="56"/>
      <c r="G16" s="6"/>
      <c r="H16" s="7"/>
      <c r="I16" s="8" t="str">
        <f t="shared" si="0"/>
        <v/>
      </c>
    </row>
    <row r="17" spans="1:11">
      <c r="A17" s="52"/>
      <c r="B17" s="57"/>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16</v>
      </c>
      <c r="B19" s="5" t="s">
        <v>17</v>
      </c>
      <c r="C19" s="4" t="s">
        <v>18</v>
      </c>
      <c r="D19" s="16" t="s">
        <v>19</v>
      </c>
      <c r="E19" s="17" t="s">
        <v>20</v>
      </c>
      <c r="F19" s="16" t="s">
        <v>21</v>
      </c>
      <c r="G19" s="49" t="s">
        <v>22</v>
      </c>
      <c r="H19" s="49"/>
      <c r="I19" s="18"/>
    </row>
    <row r="20" spans="1:11">
      <c r="A20" s="19">
        <f>IF(B20&lt;2,"N/A",(STDEV(H3:H17)))</f>
        <v>2.6010367458807964</v>
      </c>
      <c r="B20" s="19">
        <f>COUNT(H3:H17)</f>
        <v>8</v>
      </c>
      <c r="C20" s="20">
        <f>IF(B20&lt;2,"N/A",(A20/D20))</f>
        <v>0.490761650166188</v>
      </c>
      <c r="D20" s="21">
        <f>ROUND(AVERAGE(H3:H17),2)</f>
        <v>5.3</v>
      </c>
      <c r="E20" s="22">
        <f>IFERROR(ROUND(IF(B20&lt;2,"N/A",(IF(C20&lt;=25%,"N/A",AVERAGE(I3:I17)))),2),"N/A")</f>
        <v>4.68</v>
      </c>
      <c r="F20" s="22">
        <f>ROUND(MEDIAN(H3:H17),2)</f>
        <v>5.52</v>
      </c>
      <c r="G20" s="23" t="str">
        <f>INDEX(G3:G17,MATCH(H20,H3:H17,0))</f>
        <v>RAFA PAPER DISTRIBUIDORA EIRELI</v>
      </c>
      <c r="H20" s="24">
        <f>MIN(H3:H17)</f>
        <v>1.5949660299999999</v>
      </c>
      <c r="I20" s="18"/>
    </row>
    <row r="21" spans="1:11">
      <c r="A21" s="25"/>
      <c r="B21" s="18"/>
      <c r="C21" s="26"/>
      <c r="D21" s="26"/>
      <c r="E21" s="26"/>
      <c r="F21" s="26"/>
      <c r="G21" s="18"/>
      <c r="H21" s="27"/>
      <c r="I21" s="28"/>
      <c r="J21" s="28"/>
      <c r="K21" s="28"/>
    </row>
    <row r="22" spans="1:11">
      <c r="B22" s="25"/>
      <c r="C22" s="25"/>
      <c r="D22" s="50"/>
      <c r="E22" s="50"/>
      <c r="F22" s="30"/>
      <c r="G22" s="31" t="s">
        <v>23</v>
      </c>
      <c r="H22" s="32">
        <f>IF(C20&lt;=25%,D20,MIN(E20:F20))</f>
        <v>4.68</v>
      </c>
    </row>
    <row r="23" spans="1:11">
      <c r="B23" s="25"/>
      <c r="C23" s="25"/>
      <c r="D23" s="50"/>
      <c r="E23" s="50"/>
      <c r="F23" s="33"/>
      <c r="G23" s="4" t="s">
        <v>24</v>
      </c>
      <c r="H23" s="24">
        <f>ROUND(H22,2)*D3</f>
        <v>23400</v>
      </c>
    </row>
    <row r="24" spans="1:11">
      <c r="B24" s="29"/>
      <c r="C24" s="29"/>
      <c r="D24" s="18"/>
      <c r="E24" s="18"/>
    </row>
    <row r="26" spans="1:11" ht="12.75" customHeight="1">
      <c r="A26" s="47" t="s">
        <v>25</v>
      </c>
      <c r="B26" s="47"/>
      <c r="C26" s="47"/>
      <c r="D26" s="47"/>
      <c r="E26" s="47"/>
      <c r="F26" s="47"/>
      <c r="G26" s="47"/>
      <c r="H26" s="47"/>
      <c r="I26" s="47"/>
    </row>
    <row r="27" spans="1:11" ht="12.75" customHeight="1">
      <c r="A27" s="47" t="s">
        <v>26</v>
      </c>
      <c r="B27" s="47"/>
      <c r="C27" s="47"/>
      <c r="D27" s="47"/>
      <c r="E27" s="47"/>
      <c r="F27" s="47"/>
      <c r="G27" s="47"/>
      <c r="H27" s="47"/>
      <c r="I27" s="47"/>
    </row>
    <row r="28" spans="1:11" ht="12.75" customHeight="1">
      <c r="A28" s="47" t="s">
        <v>27</v>
      </c>
      <c r="B28" s="47"/>
      <c r="C28" s="47"/>
      <c r="D28" s="47"/>
      <c r="E28" s="47"/>
      <c r="F28" s="47"/>
      <c r="G28" s="47"/>
      <c r="H28" s="47"/>
      <c r="I28" s="47"/>
    </row>
    <row r="29" spans="1:11" ht="12.75" customHeight="1">
      <c r="A29" s="47" t="s">
        <v>28</v>
      </c>
      <c r="B29" s="47"/>
      <c r="C29" s="47"/>
      <c r="D29" s="47"/>
      <c r="E29" s="47"/>
      <c r="F29" s="47"/>
      <c r="G29" s="47"/>
      <c r="H29" s="47"/>
      <c r="I29" s="47"/>
    </row>
    <row r="30" spans="1:11" ht="12.75" customHeight="1">
      <c r="A30" s="47" t="s">
        <v>29</v>
      </c>
      <c r="B30" s="47"/>
      <c r="C30" s="47"/>
      <c r="D30" s="47"/>
      <c r="E30" s="47"/>
      <c r="F30" s="47"/>
      <c r="G30" s="47"/>
      <c r="H30" s="47"/>
      <c r="I30" s="47"/>
    </row>
    <row r="31" spans="1:11" ht="12.75" customHeight="1">
      <c r="A31" s="47" t="s">
        <v>30</v>
      </c>
      <c r="B31" s="47"/>
      <c r="C31" s="47"/>
      <c r="D31" s="47"/>
      <c r="E31" s="47"/>
      <c r="F31" s="47"/>
      <c r="G31" s="47"/>
      <c r="H31" s="47"/>
      <c r="I31" s="47"/>
    </row>
    <row r="32" spans="1:11" ht="24.75" customHeight="1">
      <c r="A32" s="48" t="s">
        <v>31</v>
      </c>
      <c r="B32" s="48"/>
      <c r="C32" s="48"/>
      <c r="D32" s="48"/>
      <c r="E32" s="48"/>
      <c r="F32" s="48"/>
      <c r="G32" s="48"/>
      <c r="H32" s="48"/>
      <c r="I32" s="48"/>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51" t="s">
        <v>0</v>
      </c>
      <c r="B1" s="51"/>
      <c r="C1" s="51"/>
      <c r="D1" s="51"/>
      <c r="E1" s="51"/>
      <c r="F1" s="51"/>
      <c r="G1" s="51"/>
      <c r="H1" s="51"/>
      <c r="I1" s="51"/>
    </row>
    <row r="2" spans="1:9" ht="25.5">
      <c r="A2" s="52" t="s">
        <v>183</v>
      </c>
      <c r="B2" s="2" t="s">
        <v>2</v>
      </c>
      <c r="C2" s="2" t="s">
        <v>3</v>
      </c>
      <c r="D2" s="2" t="s">
        <v>4</v>
      </c>
      <c r="E2" s="3" t="s">
        <v>5</v>
      </c>
      <c r="F2" s="3" t="s">
        <v>6</v>
      </c>
      <c r="G2" s="2" t="s">
        <v>7</v>
      </c>
      <c r="H2" s="4" t="s">
        <v>8</v>
      </c>
      <c r="I2" s="5" t="s">
        <v>9</v>
      </c>
    </row>
    <row r="3" spans="1:9" ht="12.75" customHeight="1">
      <c r="A3" s="52"/>
      <c r="B3" s="57" t="s">
        <v>155</v>
      </c>
      <c r="C3" s="54" t="s">
        <v>41</v>
      </c>
      <c r="D3" s="55">
        <v>10</v>
      </c>
      <c r="E3" s="56">
        <f>IF(C20&lt;=25%,D20,MIN(E20:F20))</f>
        <v>757.25</v>
      </c>
      <c r="F3" s="56">
        <f>MIN(H3:H17)</f>
        <v>697.5</v>
      </c>
      <c r="G3" s="6" t="s">
        <v>156</v>
      </c>
      <c r="H3" s="7">
        <v>697.5</v>
      </c>
      <c r="I3" s="8">
        <f t="shared" ref="I3:I17" si="0">IF(H3="","",(IF($C$20&lt;25%,"N/A",IF(H3&lt;=($D$20+$A$20),H3,"Descartado"))))</f>
        <v>697.5</v>
      </c>
    </row>
    <row r="4" spans="1:9">
      <c r="A4" s="52"/>
      <c r="B4" s="57"/>
      <c r="C4" s="54"/>
      <c r="D4" s="55"/>
      <c r="E4" s="56"/>
      <c r="F4" s="56"/>
      <c r="G4" s="6" t="s">
        <v>157</v>
      </c>
      <c r="H4" s="7">
        <v>817</v>
      </c>
      <c r="I4" s="8">
        <f t="shared" si="0"/>
        <v>817</v>
      </c>
    </row>
    <row r="5" spans="1:9">
      <c r="A5" s="52"/>
      <c r="B5" s="57"/>
      <c r="C5" s="54"/>
      <c r="D5" s="55"/>
      <c r="E5" s="56"/>
      <c r="F5" s="56"/>
      <c r="G5" s="6" t="s">
        <v>158</v>
      </c>
      <c r="H5" s="7">
        <v>1125</v>
      </c>
      <c r="I5" s="8" t="str">
        <f t="shared" si="0"/>
        <v>Descartado</v>
      </c>
    </row>
    <row r="6" spans="1:9">
      <c r="A6" s="52"/>
      <c r="B6" s="57"/>
      <c r="C6" s="54"/>
      <c r="D6" s="55"/>
      <c r="E6" s="56"/>
      <c r="F6" s="56"/>
      <c r="G6" s="6"/>
      <c r="H6" s="7"/>
      <c r="I6" s="8" t="str">
        <f t="shared" si="0"/>
        <v/>
      </c>
    </row>
    <row r="7" spans="1:9">
      <c r="A7" s="52"/>
      <c r="B7" s="57"/>
      <c r="C7" s="54"/>
      <c r="D7" s="55"/>
      <c r="E7" s="56"/>
      <c r="F7" s="56"/>
      <c r="G7" s="6"/>
      <c r="H7" s="7"/>
      <c r="I7" s="8" t="str">
        <f t="shared" si="0"/>
        <v/>
      </c>
    </row>
    <row r="8" spans="1:9">
      <c r="A8" s="52"/>
      <c r="B8" s="57"/>
      <c r="C8" s="54"/>
      <c r="D8" s="55"/>
      <c r="E8" s="56"/>
      <c r="F8" s="56"/>
      <c r="G8" s="6"/>
      <c r="H8" s="7"/>
      <c r="I8" s="8" t="str">
        <f t="shared" si="0"/>
        <v/>
      </c>
    </row>
    <row r="9" spans="1:9">
      <c r="A9" s="52"/>
      <c r="B9" s="57"/>
      <c r="C9" s="54"/>
      <c r="D9" s="55"/>
      <c r="E9" s="56"/>
      <c r="F9" s="56"/>
      <c r="G9" s="6"/>
      <c r="H9" s="7"/>
      <c r="I9" s="8" t="str">
        <f t="shared" si="0"/>
        <v/>
      </c>
    </row>
    <row r="10" spans="1:9">
      <c r="A10" s="52"/>
      <c r="B10" s="57"/>
      <c r="C10" s="54"/>
      <c r="D10" s="55"/>
      <c r="E10" s="56"/>
      <c r="F10" s="56"/>
      <c r="G10" s="6"/>
      <c r="H10" s="7"/>
      <c r="I10" s="8" t="str">
        <f t="shared" si="0"/>
        <v/>
      </c>
    </row>
    <row r="11" spans="1:9">
      <c r="A11" s="52"/>
      <c r="B11" s="57"/>
      <c r="C11" s="54"/>
      <c r="D11" s="55"/>
      <c r="E11" s="56"/>
      <c r="F11" s="56"/>
      <c r="G11" s="6"/>
      <c r="H11" s="7"/>
      <c r="I11" s="8" t="str">
        <f t="shared" si="0"/>
        <v/>
      </c>
    </row>
    <row r="12" spans="1:9">
      <c r="A12" s="52"/>
      <c r="B12" s="57"/>
      <c r="C12" s="54"/>
      <c r="D12" s="55"/>
      <c r="E12" s="56"/>
      <c r="F12" s="56"/>
      <c r="G12" s="6"/>
      <c r="H12" s="7"/>
      <c r="I12" s="8" t="str">
        <f t="shared" si="0"/>
        <v/>
      </c>
    </row>
    <row r="13" spans="1:9">
      <c r="A13" s="52"/>
      <c r="B13" s="57"/>
      <c r="C13" s="54"/>
      <c r="D13" s="55"/>
      <c r="E13" s="56"/>
      <c r="F13" s="56"/>
      <c r="G13" s="6"/>
      <c r="H13" s="7"/>
      <c r="I13" s="8" t="str">
        <f t="shared" si="0"/>
        <v/>
      </c>
    </row>
    <row r="14" spans="1:9">
      <c r="A14" s="52"/>
      <c r="B14" s="57"/>
      <c r="C14" s="54"/>
      <c r="D14" s="55"/>
      <c r="E14" s="56"/>
      <c r="F14" s="56"/>
      <c r="G14" s="6"/>
      <c r="H14" s="7"/>
      <c r="I14" s="8" t="str">
        <f t="shared" si="0"/>
        <v/>
      </c>
    </row>
    <row r="15" spans="1:9">
      <c r="A15" s="52"/>
      <c r="B15" s="57"/>
      <c r="C15" s="54"/>
      <c r="D15" s="55"/>
      <c r="E15" s="56"/>
      <c r="F15" s="56"/>
      <c r="G15" s="6"/>
      <c r="H15" s="7"/>
      <c r="I15" s="8" t="str">
        <f t="shared" si="0"/>
        <v/>
      </c>
    </row>
    <row r="16" spans="1:9">
      <c r="A16" s="52"/>
      <c r="B16" s="57"/>
      <c r="C16" s="54"/>
      <c r="D16" s="55"/>
      <c r="E16" s="56"/>
      <c r="F16" s="56"/>
      <c r="G16" s="6"/>
      <c r="H16" s="7"/>
      <c r="I16" s="8" t="str">
        <f t="shared" si="0"/>
        <v/>
      </c>
    </row>
    <row r="17" spans="1:11">
      <c r="A17" s="52"/>
      <c r="B17" s="57"/>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16</v>
      </c>
      <c r="B19" s="5" t="s">
        <v>17</v>
      </c>
      <c r="C19" s="4" t="s">
        <v>18</v>
      </c>
      <c r="D19" s="16" t="s">
        <v>19</v>
      </c>
      <c r="E19" s="17" t="s">
        <v>20</v>
      </c>
      <c r="F19" s="16" t="s">
        <v>21</v>
      </c>
      <c r="G19" s="49" t="s">
        <v>22</v>
      </c>
      <c r="H19" s="49"/>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50"/>
      <c r="E22" s="50"/>
      <c r="F22" s="30"/>
      <c r="G22" s="31" t="s">
        <v>23</v>
      </c>
      <c r="H22" s="32">
        <f>IF(C20&lt;=25%,D20,MIN(E20:F20))</f>
        <v>757.25</v>
      </c>
    </row>
    <row r="23" spans="1:11">
      <c r="B23" s="25"/>
      <c r="C23" s="25"/>
      <c r="D23" s="50"/>
      <c r="E23" s="50"/>
      <c r="F23" s="33"/>
      <c r="G23" s="4" t="s">
        <v>24</v>
      </c>
      <c r="H23" s="24">
        <f>ROUND(H22,2)*D3</f>
        <v>7572.5</v>
      </c>
    </row>
    <row r="24" spans="1:11">
      <c r="B24" s="29"/>
      <c r="C24" s="29"/>
      <c r="D24" s="18"/>
      <c r="E24" s="18"/>
    </row>
    <row r="26" spans="1:11" ht="12.75" customHeight="1">
      <c r="A26" s="47" t="s">
        <v>25</v>
      </c>
      <c r="B26" s="47"/>
      <c r="C26" s="47"/>
      <c r="D26" s="47"/>
      <c r="E26" s="47"/>
      <c r="F26" s="47"/>
      <c r="G26" s="47"/>
      <c r="H26" s="47"/>
      <c r="I26" s="47"/>
    </row>
    <row r="27" spans="1:11" ht="12.75" customHeight="1">
      <c r="A27" s="47" t="s">
        <v>26</v>
      </c>
      <c r="B27" s="47"/>
      <c r="C27" s="47"/>
      <c r="D27" s="47"/>
      <c r="E27" s="47"/>
      <c r="F27" s="47"/>
      <c r="G27" s="47"/>
      <c r="H27" s="47"/>
      <c r="I27" s="47"/>
    </row>
    <row r="28" spans="1:11" ht="12.75" customHeight="1">
      <c r="A28" s="47" t="s">
        <v>27</v>
      </c>
      <c r="B28" s="47"/>
      <c r="C28" s="47"/>
      <c r="D28" s="47"/>
      <c r="E28" s="47"/>
      <c r="F28" s="47"/>
      <c r="G28" s="47"/>
      <c r="H28" s="47"/>
      <c r="I28" s="47"/>
    </row>
    <row r="29" spans="1:11" ht="12.75" customHeight="1">
      <c r="A29" s="47" t="s">
        <v>28</v>
      </c>
      <c r="B29" s="47"/>
      <c r="C29" s="47"/>
      <c r="D29" s="47"/>
      <c r="E29" s="47"/>
      <c r="F29" s="47"/>
      <c r="G29" s="47"/>
      <c r="H29" s="47"/>
      <c r="I29" s="47"/>
    </row>
    <row r="30" spans="1:11" ht="12.75" customHeight="1">
      <c r="A30" s="47" t="s">
        <v>29</v>
      </c>
      <c r="B30" s="47"/>
      <c r="C30" s="47"/>
      <c r="D30" s="47"/>
      <c r="E30" s="47"/>
      <c r="F30" s="47"/>
      <c r="G30" s="47"/>
      <c r="H30" s="47"/>
      <c r="I30" s="47"/>
    </row>
    <row r="31" spans="1:11" ht="12.75" customHeight="1">
      <c r="A31" s="47" t="s">
        <v>30</v>
      </c>
      <c r="B31" s="47"/>
      <c r="C31" s="47"/>
      <c r="D31" s="47"/>
      <c r="E31" s="47"/>
      <c r="F31" s="47"/>
      <c r="G31" s="47"/>
      <c r="H31" s="47"/>
      <c r="I31" s="47"/>
    </row>
    <row r="32" spans="1:11" ht="24.75" customHeight="1">
      <c r="A32" s="48" t="s">
        <v>31</v>
      </c>
      <c r="B32" s="48"/>
      <c r="C32" s="48"/>
      <c r="D32" s="48"/>
      <c r="E32" s="48"/>
      <c r="F32" s="48"/>
      <c r="G32" s="48"/>
      <c r="H32" s="48"/>
      <c r="I32" s="48"/>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73"/>
  <sheetViews>
    <sheetView tabSelected="1" view="pageBreakPreview" topLeftCell="A31" zoomScaleNormal="100" workbookViewId="0">
      <selection activeCell="E2" sqref="E2"/>
    </sheetView>
  </sheetViews>
  <sheetFormatPr defaultColWidth="9.140625" defaultRowHeight="12.75"/>
  <cols>
    <col min="1" max="1" width="9.140625" style="34"/>
    <col min="2" max="2" width="86.85546875" style="34" customWidth="1"/>
    <col min="3" max="5" width="13.28515625" style="34" customWidth="1"/>
    <col min="6" max="6" width="15.5703125" style="34" customWidth="1"/>
    <col min="7" max="14" width="9.140625" style="35"/>
    <col min="15" max="1024" width="9.140625" style="34"/>
  </cols>
  <sheetData>
    <row r="1" spans="1:7" ht="12.75" customHeight="1">
      <c r="A1" s="36"/>
      <c r="B1" s="36"/>
      <c r="C1" s="36"/>
      <c r="D1" s="36"/>
      <c r="E1" s="36"/>
      <c r="F1" s="36"/>
    </row>
    <row r="2" spans="1:7" ht="12.75" customHeight="1">
      <c r="A2" s="36"/>
      <c r="B2" s="36"/>
      <c r="C2" s="36"/>
      <c r="D2" s="36"/>
      <c r="E2" s="36"/>
      <c r="F2" s="36"/>
    </row>
    <row r="3" spans="1:7" ht="12.75" customHeight="1">
      <c r="A3" s="36"/>
      <c r="B3" s="36"/>
      <c r="C3" s="36"/>
      <c r="D3" s="36"/>
      <c r="E3" s="36"/>
      <c r="F3" s="36"/>
    </row>
    <row r="4" spans="1:7" ht="12.75" customHeight="1">
      <c r="A4" s="36"/>
      <c r="B4" s="36"/>
      <c r="C4" s="36"/>
      <c r="D4" s="36"/>
      <c r="E4" s="36"/>
      <c r="F4" s="36"/>
    </row>
    <row r="5" spans="1:7" ht="12.75" customHeight="1">
      <c r="A5" s="58"/>
      <c r="B5" s="58"/>
      <c r="C5" s="58"/>
      <c r="D5" s="58"/>
      <c r="E5" s="58"/>
      <c r="F5" s="58"/>
    </row>
    <row r="6" spans="1:7" ht="12.75" customHeight="1">
      <c r="A6" s="58"/>
      <c r="B6" s="58"/>
      <c r="C6" s="58"/>
      <c r="D6" s="58"/>
      <c r="E6" s="58"/>
      <c r="F6" s="58"/>
    </row>
    <row r="7" spans="1:7" ht="12.75" customHeight="1">
      <c r="A7" s="37"/>
      <c r="B7" s="37"/>
      <c r="C7" s="37"/>
      <c r="D7" s="37"/>
      <c r="E7" s="37"/>
      <c r="F7" s="37"/>
    </row>
    <row r="8" spans="1:7" ht="15.75" customHeight="1">
      <c r="A8" s="59" t="s">
        <v>184</v>
      </c>
      <c r="B8" s="59"/>
      <c r="C8" s="59"/>
      <c r="D8" s="59"/>
      <c r="E8" s="59"/>
      <c r="F8" s="59"/>
    </row>
    <row r="9" spans="1:7" ht="25.5">
      <c r="A9" s="39" t="s">
        <v>185</v>
      </c>
      <c r="B9" s="39" t="s">
        <v>186</v>
      </c>
      <c r="C9" s="39" t="s">
        <v>187</v>
      </c>
      <c r="D9" s="39" t="s">
        <v>188</v>
      </c>
      <c r="E9" s="39" t="s">
        <v>189</v>
      </c>
      <c r="F9" s="39" t="s">
        <v>190</v>
      </c>
    </row>
    <row r="10" spans="1:7" ht="102">
      <c r="A10" s="40">
        <v>1</v>
      </c>
      <c r="B10" s="41" t="str">
        <f>Item1!B3</f>
        <v xml:space="preserve">FITA ADESIVA
Em polipropileno;
Dimensões: 48mm x 50m – largura x comprimento;
Incolor;
Com impressão ao longo do comprimento, com intervalos regulares de 5 cm, da inscrição ‘TRE-BA’
Tamanho aproximado da fonte: 1 cm (+ 0,2cm);
Acondicionadas em caixas;
É obrigatório o fornecimento de prova para exame antes da confecção final. </v>
      </c>
      <c r="C10" s="40" t="str">
        <f>Item1!C3</f>
        <v>RL</v>
      </c>
      <c r="D10" s="40">
        <f>Item1!D3</f>
        <v>7500</v>
      </c>
      <c r="E10" s="42">
        <f>Item1!E3</f>
        <v>2.86</v>
      </c>
      <c r="F10" s="42">
        <f t="shared" ref="F10:F33" si="0">(ROUND(E10,2)*D10)</f>
        <v>21450</v>
      </c>
      <c r="G10" s="43"/>
    </row>
    <row r="11" spans="1:7" ht="89.25">
      <c r="A11" s="40">
        <v>2</v>
      </c>
      <c r="B11" s="41" t="str">
        <f>Item2!B3</f>
        <v xml:space="preserve">FITA ADESIVA
Em polipropileno;
Dimensões: 48mm x 50m – largura x comprimento;
Incolor;
Sem impressão;
Acondicionadas em caixas com até 100 unidades.
</v>
      </c>
      <c r="C11" s="40" t="str">
        <f>Item2!C3</f>
        <v>RL</v>
      </c>
      <c r="D11" s="40">
        <f>Item2!D3</f>
        <v>10000</v>
      </c>
      <c r="E11" s="42">
        <f>Item2!E3</f>
        <v>2.94</v>
      </c>
      <c r="F11" s="42">
        <f t="shared" si="0"/>
        <v>29400</v>
      </c>
    </row>
    <row r="12" spans="1:7" ht="76.5">
      <c r="A12" s="40">
        <v>3</v>
      </c>
      <c r="B12" s="41" t="str">
        <f>Item3!B3</f>
        <v xml:space="preserve">FOLHA ISOPOR
Comprimento: 1 m;
Largura: 0,50 m;
Espessura: 25 mm.
Podendo variar em +/- 0,5cm
</v>
      </c>
      <c r="C12" s="40" t="str">
        <f>Item3!C3</f>
        <v>unidade</v>
      </c>
      <c r="D12" s="40">
        <f>Item3!D3</f>
        <v>2000</v>
      </c>
      <c r="E12" s="42">
        <f>Item3!E3</f>
        <v>5.49</v>
      </c>
      <c r="F12" s="42">
        <f t="shared" si="0"/>
        <v>10980</v>
      </c>
    </row>
    <row r="13" spans="1:7" ht="76.5">
      <c r="A13" s="40">
        <v>4</v>
      </c>
      <c r="B13" s="41" t="str">
        <f>Item4!B3</f>
        <v>SACO PLÁSTICO
Em polipropileno;
Transparente;
Dimensão: 30 x 40 cm (largura x altura);
Espessura mínima de 6 micras;
Embalagem: pacote com 100 unidades.</v>
      </c>
      <c r="C13" s="40" t="str">
        <f>Item4!C3</f>
        <v>PC</v>
      </c>
      <c r="D13" s="40">
        <f>Item4!D3</f>
        <v>1500</v>
      </c>
      <c r="E13" s="42">
        <f>Item4!E3</f>
        <v>43.05</v>
      </c>
      <c r="F13" s="42">
        <f t="shared" si="0"/>
        <v>64574.999999999993</v>
      </c>
    </row>
    <row r="14" spans="1:7" ht="127.5">
      <c r="A14" s="40">
        <v>5</v>
      </c>
      <c r="B14" s="41" t="str">
        <f>Item5!B3</f>
        <v>CAIXA ARQUIVO
Confeccionadas em papelão;
Parede simples;
Paredes externas na cor branca;
Baixa acidez (ph acima de 6);
Dimensões da caixa montada: (14,0 x 24,0 x 38,0) cm, correspondendo respectivamente a largura, altura e profundidade (podendo variar em +/- 0,5cm);
Em fardos cintados com duas fitas;
Estritamente conforme modelo disponível na Seção de Gestão de Almoxarifado do TRE-BA;
É obrigatório o fornecimento de prova para exame antes da confecção final.</v>
      </c>
      <c r="C14" s="40" t="str">
        <f>Item5!C3</f>
        <v>UNIDADE</v>
      </c>
      <c r="D14" s="40">
        <f>Item5!D3</f>
        <v>5000</v>
      </c>
      <c r="E14" s="42">
        <f>Item5!E3</f>
        <v>4.68</v>
      </c>
      <c r="F14" s="42">
        <f t="shared" si="0"/>
        <v>23400</v>
      </c>
    </row>
    <row r="15" spans="1:7" ht="102">
      <c r="A15" s="40">
        <v>6</v>
      </c>
      <c r="B15" s="41" t="str">
        <f>Item6!B3</f>
        <v>CAIXA DE PAPELÃO
De parede simples;
Confeccionadas em Kraft Gramatura: 450g/m2;
Dimensões da caixa montada: (37 x 29 x 24,5) cm (comprimento x largura x altura). (podendo variar em +/-
0,5cm);
Embalagem: fardo com 25 unidades, cintados com 2 fitas;
Conforme modelo disponível na Seção de Gestão de Almoxarifado do TRE-BA
É obrigatório o fornecimento de prova para exame antes da confecção final</v>
      </c>
      <c r="C15" s="40" t="str">
        <f>Item6!C3</f>
        <v>unidade</v>
      </c>
      <c r="D15" s="40">
        <f>Item6!D3</f>
        <v>10000</v>
      </c>
      <c r="E15" s="42">
        <f>Item6!E3</f>
        <v>5.35</v>
      </c>
      <c r="F15" s="42">
        <f t="shared" si="0"/>
        <v>53500</v>
      </c>
    </row>
    <row r="16" spans="1:7" ht="102">
      <c r="A16" s="40">
        <v>7</v>
      </c>
      <c r="B16" s="41" t="str">
        <f>Item7!B3</f>
        <v>CAIXA DE PAPELÃO
De parede simples;
Confeccionadas em Kraft Gramatura: 450 g/m2;
Dimensões da caixa montada: (37 x 29 x 12,5) cm (comprimento x largura x altura). (podendo variar em +/-
0,5cm);
Embalagem: fardo com 25 unidades, cintados com 2 fitas;
Conforme modelo disponível na Seção de Gestão de Almoxarifado do TRE-BA;
É obrigatório o fornecimento de prova para exame antes da confecção final.</v>
      </c>
      <c r="C16" s="40" t="str">
        <f>Item7!C3</f>
        <v>unidade</v>
      </c>
      <c r="D16" s="40">
        <f>Item7!D3</f>
        <v>7500</v>
      </c>
      <c r="E16" s="42">
        <f>Item7!E3</f>
        <v>5.71</v>
      </c>
      <c r="F16" s="42">
        <f t="shared" si="0"/>
        <v>42825</v>
      </c>
    </row>
    <row r="17" spans="1:6" ht="76.5">
      <c r="A17" s="40">
        <v>8</v>
      </c>
      <c r="B17" s="41" t="str">
        <f>Item8!B3</f>
        <v>BARBANTE DE ALGODÃO
Cor branca;
Rolo com 250g;
N.º 8;
Em embalagem individual;
Acondicionado em embalagens com até 20 unidades.</v>
      </c>
      <c r="C17" s="40" t="str">
        <f>Item8!C3</f>
        <v>RL</v>
      </c>
      <c r="D17" s="40">
        <f>Item8!D3</f>
        <v>500</v>
      </c>
      <c r="E17" s="42">
        <f>Item8!E3</f>
        <v>4.91</v>
      </c>
      <c r="F17" s="42">
        <f t="shared" si="0"/>
        <v>2455</v>
      </c>
    </row>
    <row r="18" spans="1:6" ht="63.75">
      <c r="A18" s="40">
        <v>9</v>
      </c>
      <c r="B18" s="41" t="str">
        <f>Item9!B3</f>
        <v xml:space="preserve">FITILHO
Em nylon;
Rolo com 1000g;
Embalados em fardos com até 25 unidades.
</v>
      </c>
      <c r="C18" s="40" t="str">
        <f>Item9!C3</f>
        <v>RL</v>
      </c>
      <c r="D18" s="40">
        <f>Item9!D3</f>
        <v>500</v>
      </c>
      <c r="E18" s="42">
        <f>Item9!E3</f>
        <v>12.89</v>
      </c>
      <c r="F18" s="42">
        <f t="shared" si="0"/>
        <v>6445</v>
      </c>
    </row>
    <row r="19" spans="1:6" ht="38.25">
      <c r="A19" s="40">
        <v>10</v>
      </c>
      <c r="B19" s="41" t="str">
        <f>Item10!B3</f>
        <v>PLÁSTICO BOLHA
Bobina 1,30 x 100 metros;
Bolhas com, no máximo, 1cm.</v>
      </c>
      <c r="C19" s="40" t="str">
        <f>Item10!C3</f>
        <v>unidade</v>
      </c>
      <c r="D19" s="40">
        <f>Item10!D3</f>
        <v>50</v>
      </c>
      <c r="E19" s="42">
        <f>Item10!E3</f>
        <v>83.92</v>
      </c>
      <c r="F19" s="42">
        <f t="shared" si="0"/>
        <v>4196</v>
      </c>
    </row>
    <row r="20" spans="1:6" ht="178.5">
      <c r="A20" s="40">
        <v>11</v>
      </c>
      <c r="B20" s="41" t="str">
        <f>Item11!B3</f>
        <v>PASTA TIPO MALOTE
Em material bagum
Cor: verde floresta
Dimensões: 40cm x 33cm x 1,5cm – largura x altura x profundidade, com variação permitida de ± 1,0 cm na altura ou largura.
Com zíper e dois cursores n.º 3, em cor preta, compatível com fechamento com lacre tipo espinha de peixe;
Com bolso em plástico cristal transparente, com abertura no lado direito;
Acabamento em Debrum na cor amarelo claro;
Estampa do brasão da república e demais inscrições na cor branca;
Inscrições: Justiça Eleitoral
Tribunal Regional Eleitoral da Bahia
Conforme modelo constante do anexo B. 2, também disponível na Seção de Gestão de Almoxarifado do TRE/BA
É obrigatório o fornecimento de prova para exame antes da confecção final</v>
      </c>
      <c r="C20" s="40" t="str">
        <f>Item11!C3</f>
        <v>unidade</v>
      </c>
      <c r="D20" s="40">
        <f>Item11!D3</f>
        <v>7500</v>
      </c>
      <c r="E20" s="42">
        <f>Item11!E3</f>
        <v>3.73</v>
      </c>
      <c r="F20" s="42">
        <f t="shared" si="0"/>
        <v>27975</v>
      </c>
    </row>
    <row r="21" spans="1:6" ht="127.5">
      <c r="A21" s="40">
        <v>12</v>
      </c>
      <c r="B21" s="41" t="str">
        <f>Item12!B3</f>
        <v xml:space="preserve">FILME PARA EMBALAGEM, EM POLIETILENO, TIPO
STRETCH
Para aplicação manual;
Com estiramento não superior a 60%;
Para vedação de paletes e proteção do material;
Isento de partículas estranhas, ranhuras, furos e deformações;
Inodoro, incolor e com transparência;
Dimensões: Largura 500mm; Espessura 0,025mm (25 micra);
Peso aproximado de 4kg.
</v>
      </c>
      <c r="C21" s="40" t="str">
        <f>Item12!C3</f>
        <v>unidade</v>
      </c>
      <c r="D21" s="40">
        <f>Item12!D3</f>
        <v>300</v>
      </c>
      <c r="E21" s="42">
        <f>Item12!E3</f>
        <v>84.78</v>
      </c>
      <c r="F21" s="42">
        <f t="shared" si="0"/>
        <v>25434</v>
      </c>
    </row>
    <row r="22" spans="1:6" ht="102">
      <c r="A22" s="40">
        <v>13</v>
      </c>
      <c r="B22" s="41" t="str">
        <f>Item13!B3</f>
        <v xml:space="preserve">CADEADO
Corpo em latão maciço;
Haste em aço cromado;
Cor amarelo bronze;
Largura: 50 mm;
Altura da haste: 30 mm;
Acondicionados individualmente em caixa de papelão
</v>
      </c>
      <c r="C22" s="40" t="str">
        <f>Item13!C3</f>
        <v>unidade</v>
      </c>
      <c r="D22" s="40">
        <f>Item13!D3</f>
        <v>200</v>
      </c>
      <c r="E22" s="42">
        <f>Item13!E3</f>
        <v>22.37</v>
      </c>
      <c r="F22" s="42">
        <f t="shared" si="0"/>
        <v>4474</v>
      </c>
    </row>
    <row r="23" spans="1:6" ht="102">
      <c r="A23" s="40">
        <v>14</v>
      </c>
      <c r="B23" s="41" t="str">
        <f>Item14!B3</f>
        <v xml:space="preserve">CADEADO
Corpo em latão maciço;
Haste em aço cromado;
Cor amarelo bronze;
Largura: 20 mm;
Altura da haste: 20 mm;
Acondicionados individualmente em caixa de papelão
</v>
      </c>
      <c r="C23" s="40" t="str">
        <f>Item14!C3</f>
        <v>unidade</v>
      </c>
      <c r="D23" s="40">
        <f>Item14!D3</f>
        <v>200</v>
      </c>
      <c r="E23" s="42">
        <f>Item14!E3</f>
        <v>18.920000000000002</v>
      </c>
      <c r="F23" s="42">
        <f t="shared" si="0"/>
        <v>3784.0000000000005</v>
      </c>
    </row>
    <row r="24" spans="1:6" ht="140.25">
      <c r="A24" s="40">
        <v>15</v>
      </c>
      <c r="B24" s="41" t="str">
        <f>Item15!B3</f>
        <v>PALETE EM MADEIRA
PBR-I – padrão brasileiro;
Em madeira de reflorestamento;
Não reversível;
Dupla face;
Quatro entradas, que permitam movimentação com paleteira ou empilhadeira;
Dimensões: 1200 mm x 1000 mm x 148 mm (comprimento x largura x altura);
Capacidade de carga: Dinâmica – 1.600kg;
Estática – 3.200kg;
Espessura da madeira: 24 mm para a face superior, face inferior e tábua de ligação; 76 mm para o bloco;
Conforme modelo constante do anexo B.2</v>
      </c>
      <c r="C24" s="40" t="str">
        <f>Item15!C3</f>
        <v>unidade</v>
      </c>
      <c r="D24" s="40">
        <f>Item15!D3</f>
        <v>600</v>
      </c>
      <c r="E24" s="42">
        <f>Item15!E3</f>
        <v>64.209999999999994</v>
      </c>
      <c r="F24" s="42">
        <f t="shared" si="0"/>
        <v>38525.999999999993</v>
      </c>
    </row>
    <row r="25" spans="1:6" ht="114.75">
      <c r="A25" s="40">
        <v>16</v>
      </c>
      <c r="B25" s="41" t="str">
        <f>Item16!B3</f>
        <v xml:space="preserve">PALETE EM PLÁSTICO
Na cor preta, atóxico, não corrosivo, lavável, reciclável e empilhável;
Alta durabilidade e alta densidade;
Capacidade mínima de carga: dinâmica de 3.000Kg; estática de 8.500Kg; no rack de 2.500Kg;
Medidas aproximadas: 1200mm x 1000mm de área superior e altura de 170mm;
Fendas nas quatro laterais para manuseio por meio de carro plataforma;
Com sapata e deslizante;
Para uso em estante porta palete.
</v>
      </c>
      <c r="C25" s="40" t="str">
        <f>Item16!C3</f>
        <v>unidade</v>
      </c>
      <c r="D25" s="40">
        <f>Item16!D3</f>
        <v>100</v>
      </c>
      <c r="E25" s="42">
        <f>Item16!E3</f>
        <v>227.56</v>
      </c>
      <c r="F25" s="42">
        <f t="shared" si="0"/>
        <v>22756</v>
      </c>
    </row>
    <row r="26" spans="1:6" ht="76.5">
      <c r="A26" s="40">
        <v>17</v>
      </c>
      <c r="B26" s="41" t="str">
        <f>Item17!B3</f>
        <v>CONE PARA SINALIZAÇÃO
Confeccionado em PVC flexível moldado (sem emendas)
Predominantemente na cor laranja,
Com, no mínimo, 700 mm de altura e largura da base de 360 mm,
Com duas faixas brancas
Refletividade conforme películas tipo II (NBR 14644 da ABNT).</v>
      </c>
      <c r="C26" s="40" t="str">
        <f>Item17!C3</f>
        <v>unidade</v>
      </c>
      <c r="D26" s="40">
        <f>Item17!D3</f>
        <v>250</v>
      </c>
      <c r="E26" s="42">
        <f>Item17!E3</f>
        <v>41.92</v>
      </c>
      <c r="F26" s="42">
        <f t="shared" si="0"/>
        <v>10480</v>
      </c>
    </row>
    <row r="27" spans="1:6" ht="114.75">
      <c r="A27" s="40">
        <v>18</v>
      </c>
      <c r="B27" s="41" t="str">
        <f>Item18!B3</f>
        <v xml:space="preserve">Envelope confeccionado em papel Kraft
Gramatura não inferior a 90g/m²
Medidas: 135x175mm, com variação de 10mm para mais ou para menos, com aba para fechamento
Revestido internamente com plástico bolha de, no mínimo, 25 micras
Fita dupla face na aba para fechamento
Emblema do TRE/BA
Modelo Anexo B. 3
É obrigatório o fornecimento de prova para exame antes da confecção final. 
</v>
      </c>
      <c r="C27" s="40" t="str">
        <f>Item18!C3</f>
        <v>unidade</v>
      </c>
      <c r="D27" s="40">
        <f>Item18!D3</f>
        <v>35000</v>
      </c>
      <c r="E27" s="42">
        <f>Item18!E3</f>
        <v>1.5</v>
      </c>
      <c r="F27" s="42">
        <f t="shared" si="0"/>
        <v>52500</v>
      </c>
    </row>
    <row r="28" spans="1:6" ht="114.75">
      <c r="A28" s="40">
        <v>19</v>
      </c>
      <c r="B28" s="41" t="str">
        <f>Item19!B3</f>
        <v xml:space="preserve">FITA ADESIVA
Em polipropileno;
Dimensões: 48mm x 50m – largura x comprimento;
Incolor;
Com impressão ao longo do comprimento, com intervalos regulares de 5 cm, da inscrição ‘TRE-BA’
Tamanho aproximado da fonte: 1 cm (+ 0,2cm);
Acondicionadas em caixas;
É obrigatório o fornecimento de prova para exame antes da confecção final. 
</v>
      </c>
      <c r="C28" s="40" t="str">
        <f>Item19!C3</f>
        <v>RL</v>
      </c>
      <c r="D28" s="40">
        <f>Item19!D3</f>
        <v>22500</v>
      </c>
      <c r="E28" s="42">
        <f>Item19!E3</f>
        <v>2.86</v>
      </c>
      <c r="F28" s="42">
        <f t="shared" si="0"/>
        <v>64350</v>
      </c>
    </row>
    <row r="29" spans="1:6" ht="127.5">
      <c r="A29" s="40">
        <v>20</v>
      </c>
      <c r="B29" s="41" t="str">
        <f>Item20!B3</f>
        <v>CAIXA ARQUIVO
Confeccionadas em papelão;
Parede simples;
Paredes externas na cor branca;
Baixa acidez (ph acima de 6);
Dimensões da caixa montada: (14,0 x 24,0 x 38,0) cm, correspondendo respectivamente a largura, altura e
profundidade (podendo variar em +/- 0,5cm);
Em fardos cintados com duas fitas;
Estritamente conforme modelo disponível na Seção de Gestão de Almoxarifado do TRE-BA;
É obrigatório o fornecimento de prova para exame antes da confecção final.</v>
      </c>
      <c r="C29" s="40" t="str">
        <f>Item20!C3</f>
        <v>unidade</v>
      </c>
      <c r="D29" s="40">
        <f>Item20!D3</f>
        <v>15000</v>
      </c>
      <c r="E29" s="42">
        <f>Item20!E3</f>
        <v>4.68</v>
      </c>
      <c r="F29" s="42">
        <f t="shared" si="0"/>
        <v>70200</v>
      </c>
    </row>
    <row r="30" spans="1:6" ht="102">
      <c r="A30" s="40">
        <v>21</v>
      </c>
      <c r="B30" s="41" t="str">
        <f>Item21!B3</f>
        <v>CAIXA DE PAPELÃO
De parede simples;
Confeccionadas em Kraft Gramatura: 450g/m2;
Dimensões da caixa montada: (37 x 29 x 24,5) cm (comprimento x largura x altura). (podendo variar em +/-
0,5cm);
Embalagem: fardo com 25 unidades, cintados com 2 fitas;
Conforme modelo disponível na Seção de Gestão de Almoxarifado do TRE-BA
É obrigatório o fornecimento de prova para exame antes da confecção final</v>
      </c>
      <c r="C30" s="40" t="str">
        <f>Item21!C3</f>
        <v>unidade</v>
      </c>
      <c r="D30" s="40">
        <f>Item21!D3</f>
        <v>30000</v>
      </c>
      <c r="E30" s="42">
        <f>Item21!E3</f>
        <v>5.35</v>
      </c>
      <c r="F30" s="42">
        <f t="shared" si="0"/>
        <v>160500</v>
      </c>
    </row>
    <row r="31" spans="1:6" ht="102">
      <c r="A31" s="40">
        <v>22</v>
      </c>
      <c r="B31" s="41" t="str">
        <f>Item22!B3</f>
        <v>CAIXA DE PAPELÃO
De parede simples;
Confeccionadas em Kraft Gramatura: 450 g/m2;
Dimensões da caixa montada: (37 x 29 x 12,5) cm (comprimento x largura x altura). (podendo variar em +/-
0,5cm);
Embalagem: fardo com 25 unidades, cintados com 2 fitas;
Conforme modelo disponível na Seção de Gestão de Almoxarifado do TRE-BA;
É obrigatório o fornecimento de prova para exame antes da confecção final.</v>
      </c>
      <c r="C31" s="40" t="str">
        <f>Item22!C3</f>
        <v>unidade</v>
      </c>
      <c r="D31" s="40">
        <f>Item22!D3</f>
        <v>22500</v>
      </c>
      <c r="E31" s="42">
        <f>Item22!E3</f>
        <v>5.71</v>
      </c>
      <c r="F31" s="42">
        <f t="shared" si="0"/>
        <v>128475</v>
      </c>
    </row>
    <row r="32" spans="1:6" ht="178.5">
      <c r="A32" s="40">
        <v>23</v>
      </c>
      <c r="B32" s="41" t="str">
        <f>Item23!B3</f>
        <v>PASTA TIPO MALOTE
Em material bagum
Cor: verde floresta
Dimensões: 40cm x 33cm x 1,5cm – largura x altura x profundidade, com variação permitida de ± 1,0 cm na altura ou largura.
Com zíper e dois cursores n.º 3, em cor preta, compatível com fechamento com lacre tipo espinha de peixe;
Com bolso em plástico cristal transparente, com abertura no lado direito;
Acabamento em Debrum na cor amarelo claro;
Estampa do brasão da república e demais inscrições na cor branca;
Inscrições: Justiça Eleitoral
Tribunal Regional Eleitoral da Bahia
Conforme modelo constante do anexo B. 2, também disponível na Seção de Gestão de Almoxarifado do TRE/BA
É obrigatório o fornecimento de prova para exame antes da confecção final</v>
      </c>
      <c r="C32" s="40" t="str">
        <f>Item23!C3</f>
        <v>unidade</v>
      </c>
      <c r="D32" s="40">
        <f>Item23!D3</f>
        <v>22500</v>
      </c>
      <c r="E32" s="42">
        <f>Item23!E3</f>
        <v>3.73</v>
      </c>
      <c r="F32" s="42">
        <f t="shared" si="0"/>
        <v>83925</v>
      </c>
    </row>
    <row r="33" spans="1:6" ht="114.75">
      <c r="A33" s="40">
        <v>24</v>
      </c>
      <c r="B33" s="41" t="str">
        <f>Item24!B3</f>
        <v xml:space="preserve">PALETE EM PLÁSTICO
Na cor preta, atóxico, não corrosivo, lavável, reciclável e empilhável;
Alta durabilidade e alta densidade;
Capacidade mínima de carga: dinâmica de 3.000Kg; estática de 8.500Kg; no rack de 2.500Kg;
Medidas aproximadas: 1200mm x 1000mm de área superior e altura de 170mm;
Fendas nas quatro laterais para manuseio por meio de carro plataforma;
Com sapata e deslizante;
Para uso em estante porta palete.
</v>
      </c>
      <c r="C33" s="40" t="str">
        <f>Item24!C3</f>
        <v>unidade</v>
      </c>
      <c r="D33" s="40">
        <f>Item24!D3</f>
        <v>300</v>
      </c>
      <c r="E33" s="42">
        <f>Item24!E3</f>
        <v>227.56</v>
      </c>
      <c r="F33" s="42">
        <f t="shared" si="0"/>
        <v>68268</v>
      </c>
    </row>
    <row r="34" spans="1:6" ht="15.75" customHeight="1">
      <c r="A34" s="44"/>
      <c r="B34" s="44"/>
      <c r="C34" s="59" t="s">
        <v>191</v>
      </c>
      <c r="D34" s="59"/>
      <c r="E34" s="59"/>
      <c r="F34" s="45">
        <f>SUM(F10:F33)</f>
        <v>1020873</v>
      </c>
    </row>
    <row r="73" spans="1:6" ht="15.75" customHeight="1">
      <c r="A73" s="44"/>
      <c r="B73" s="44"/>
      <c r="C73" s="38"/>
      <c r="D73" s="38"/>
      <c r="E73" s="38"/>
      <c r="F73" s="46"/>
    </row>
  </sheetData>
  <mergeCells count="4">
    <mergeCell ref="A5:F5"/>
    <mergeCell ref="A6:F6"/>
    <mergeCell ref="A8:F8"/>
    <mergeCell ref="C34:E34"/>
  </mergeCells>
  <pageMargins left="0.51181102362204722" right="0.51181102362204722" top="0.78740157480314965" bottom="0.94488188976377963" header="0.51181102362204722" footer="0.78740157480314965"/>
  <pageSetup paperSize="9" scale="91" firstPageNumber="0" fitToHeight="0" orientation="landscape" horizontalDpi="300" verticalDpi="300" r:id="rId1"/>
  <headerFooter>
    <oddFooter>&amp;L&amp;"Times New Roman,Normal"&amp;12Estimativa em &amp;D</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H9" sqref="H9"/>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51" t="s">
        <v>0</v>
      </c>
      <c r="B1" s="51"/>
      <c r="C1" s="51"/>
      <c r="D1" s="51"/>
      <c r="E1" s="51"/>
      <c r="F1" s="51"/>
      <c r="G1" s="51"/>
      <c r="H1" s="51"/>
      <c r="I1" s="51"/>
    </row>
    <row r="2" spans="1:9" ht="25.5">
      <c r="A2" s="52" t="s">
        <v>65</v>
      </c>
      <c r="B2" s="2" t="s">
        <v>2</v>
      </c>
      <c r="C2" s="2" t="s">
        <v>3</v>
      </c>
      <c r="D2" s="2" t="s">
        <v>4</v>
      </c>
      <c r="E2" s="3" t="s">
        <v>5</v>
      </c>
      <c r="F2" s="3" t="s">
        <v>6</v>
      </c>
      <c r="G2" s="2" t="s">
        <v>7</v>
      </c>
      <c r="H2" s="4" t="s">
        <v>8</v>
      </c>
      <c r="I2" s="5" t="s">
        <v>9</v>
      </c>
    </row>
    <row r="3" spans="1:9" ht="12.75" customHeight="1">
      <c r="A3" s="52"/>
      <c r="B3" s="57" t="s">
        <v>66</v>
      </c>
      <c r="C3" s="54" t="s">
        <v>41</v>
      </c>
      <c r="D3" s="55">
        <f>40000*0.25</f>
        <v>10000</v>
      </c>
      <c r="E3" s="56">
        <f>IF(C20&lt;=25%,D20,MIN(E20:F20))</f>
        <v>5.35</v>
      </c>
      <c r="F3" s="56">
        <f>MIN(H3:H17)</f>
        <v>3.6395197999999995</v>
      </c>
      <c r="G3" s="6" t="s">
        <v>67</v>
      </c>
      <c r="H3" s="7">
        <f>6*1.070447</f>
        <v>6.422682</v>
      </c>
      <c r="I3" s="8">
        <f t="shared" ref="I3:I17" si="0">IF(H3="","",(IF($C$20&lt;25%,"N/A",IF(H3&lt;=($D$20+$A$20),H3,"Descartado"))))</f>
        <v>6.422682</v>
      </c>
    </row>
    <row r="4" spans="1:9">
      <c r="A4" s="52"/>
      <c r="B4" s="57"/>
      <c r="C4" s="54"/>
      <c r="D4" s="55"/>
      <c r="E4" s="56"/>
      <c r="F4" s="56"/>
      <c r="G4" s="6" t="s">
        <v>68</v>
      </c>
      <c r="H4" s="7">
        <f>5.01*1.070447</f>
        <v>5.3629394699999997</v>
      </c>
      <c r="I4" s="8">
        <f t="shared" si="0"/>
        <v>5.3629394699999997</v>
      </c>
    </row>
    <row r="5" spans="1:9">
      <c r="A5" s="52"/>
      <c r="B5" s="57"/>
      <c r="C5" s="54"/>
      <c r="D5" s="55"/>
      <c r="E5" s="56"/>
      <c r="F5" s="56"/>
      <c r="G5" s="6" t="s">
        <v>60</v>
      </c>
      <c r="H5" s="7">
        <f>6.84*1.070447</f>
        <v>7.3218574799999994</v>
      </c>
      <c r="I5" s="8" t="str">
        <f t="shared" si="0"/>
        <v>Descartado</v>
      </c>
    </row>
    <row r="6" spans="1:9">
      <c r="A6" s="52"/>
      <c r="B6" s="57"/>
      <c r="C6" s="54"/>
      <c r="D6" s="55"/>
      <c r="E6" s="56"/>
      <c r="F6" s="56"/>
      <c r="G6" s="6" t="s">
        <v>69</v>
      </c>
      <c r="H6" s="7">
        <f>4.04*1.070447</f>
        <v>4.32460588</v>
      </c>
      <c r="I6" s="8">
        <f t="shared" si="0"/>
        <v>4.32460588</v>
      </c>
    </row>
    <row r="7" spans="1:9">
      <c r="A7" s="52"/>
      <c r="B7" s="57"/>
      <c r="C7" s="54"/>
      <c r="D7" s="55"/>
      <c r="E7" s="56"/>
      <c r="F7" s="56"/>
      <c r="G7" s="6" t="s">
        <v>70</v>
      </c>
      <c r="H7" s="7">
        <f>6.55*1.070447</f>
        <v>7.0114278499999996</v>
      </c>
      <c r="I7" s="8">
        <f t="shared" si="0"/>
        <v>7.0114278499999996</v>
      </c>
    </row>
    <row r="8" spans="1:9">
      <c r="A8" s="52"/>
      <c r="B8" s="57"/>
      <c r="C8" s="54"/>
      <c r="D8" s="55"/>
      <c r="E8" s="56"/>
      <c r="F8" s="56"/>
      <c r="G8" s="6" t="s">
        <v>71</v>
      </c>
      <c r="H8" s="7">
        <f>3.4*1.070447</f>
        <v>3.6395197999999995</v>
      </c>
      <c r="I8" s="8">
        <f t="shared" si="0"/>
        <v>3.6395197999999995</v>
      </c>
    </row>
    <row r="9" spans="1:9">
      <c r="A9" s="52"/>
      <c r="B9" s="57"/>
      <c r="C9" s="54"/>
      <c r="D9" s="55"/>
      <c r="E9" s="56"/>
      <c r="F9" s="56"/>
      <c r="G9" s="6"/>
      <c r="H9" s="7"/>
      <c r="I9" s="8" t="str">
        <f t="shared" si="0"/>
        <v/>
      </c>
    </row>
    <row r="10" spans="1:9">
      <c r="A10" s="52"/>
      <c r="B10" s="57"/>
      <c r="C10" s="54"/>
      <c r="D10" s="55"/>
      <c r="E10" s="56"/>
      <c r="F10" s="56"/>
      <c r="G10" s="6"/>
      <c r="H10" s="7"/>
      <c r="I10" s="8" t="str">
        <f t="shared" si="0"/>
        <v/>
      </c>
    </row>
    <row r="11" spans="1:9">
      <c r="A11" s="52"/>
      <c r="B11" s="57"/>
      <c r="C11" s="54"/>
      <c r="D11" s="55"/>
      <c r="E11" s="56"/>
      <c r="F11" s="56"/>
      <c r="G11" s="6"/>
      <c r="H11" s="7"/>
      <c r="I11" s="8" t="str">
        <f t="shared" si="0"/>
        <v/>
      </c>
    </row>
    <row r="12" spans="1:9">
      <c r="A12" s="52"/>
      <c r="B12" s="57"/>
      <c r="C12" s="54"/>
      <c r="D12" s="55"/>
      <c r="E12" s="56"/>
      <c r="F12" s="56"/>
      <c r="G12" s="6"/>
      <c r="H12" s="7"/>
      <c r="I12" s="8" t="str">
        <f t="shared" si="0"/>
        <v/>
      </c>
    </row>
    <row r="13" spans="1:9">
      <c r="A13" s="52"/>
      <c r="B13" s="57"/>
      <c r="C13" s="54"/>
      <c r="D13" s="55"/>
      <c r="E13" s="56"/>
      <c r="F13" s="56"/>
      <c r="G13" s="6"/>
      <c r="H13" s="7"/>
      <c r="I13" s="8" t="str">
        <f t="shared" si="0"/>
        <v/>
      </c>
    </row>
    <row r="14" spans="1:9">
      <c r="A14" s="52"/>
      <c r="B14" s="57"/>
      <c r="C14" s="54"/>
      <c r="D14" s="55"/>
      <c r="E14" s="56"/>
      <c r="F14" s="56"/>
      <c r="G14" s="6"/>
      <c r="H14" s="7"/>
      <c r="I14" s="8" t="str">
        <f t="shared" si="0"/>
        <v/>
      </c>
    </row>
    <row r="15" spans="1:9">
      <c r="A15" s="52"/>
      <c r="B15" s="57"/>
      <c r="C15" s="54"/>
      <c r="D15" s="55"/>
      <c r="E15" s="56"/>
      <c r="F15" s="56"/>
      <c r="G15" s="6"/>
      <c r="H15" s="7"/>
      <c r="I15" s="8" t="str">
        <f t="shared" si="0"/>
        <v/>
      </c>
    </row>
    <row r="16" spans="1:9">
      <c r="A16" s="52"/>
      <c r="B16" s="57"/>
      <c r="C16" s="54"/>
      <c r="D16" s="55"/>
      <c r="E16" s="56"/>
      <c r="F16" s="56"/>
      <c r="G16" s="6"/>
      <c r="H16" s="7"/>
      <c r="I16" s="8" t="str">
        <f t="shared" si="0"/>
        <v/>
      </c>
    </row>
    <row r="17" spans="1:11">
      <c r="A17" s="52"/>
      <c r="B17" s="57"/>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16</v>
      </c>
      <c r="B19" s="5" t="s">
        <v>17</v>
      </c>
      <c r="C19" s="4" t="s">
        <v>18</v>
      </c>
      <c r="D19" s="16" t="s">
        <v>19</v>
      </c>
      <c r="E19" s="17" t="s">
        <v>20</v>
      </c>
      <c r="F19" s="16" t="s">
        <v>21</v>
      </c>
      <c r="G19" s="49" t="s">
        <v>22</v>
      </c>
      <c r="H19" s="49"/>
      <c r="I19" s="18"/>
    </row>
    <row r="20" spans="1:11">
      <c r="A20" s="19">
        <f>IF(B20&lt;2,"N/A",(STDEV(H3:H17)))</f>
        <v>1.4913853406589634</v>
      </c>
      <c r="B20" s="19">
        <f>COUNT(H3:H17)</f>
        <v>6</v>
      </c>
      <c r="C20" s="20">
        <f>IF(B20&lt;2,"N/A",(A20/D20))</f>
        <v>0.2625678416653105</v>
      </c>
      <c r="D20" s="21">
        <f>ROUND(AVERAGE(H3:H17),2)</f>
        <v>5.68</v>
      </c>
      <c r="E20" s="22">
        <f>IFERROR(ROUND(IF(B20&lt;2,"N/A",(IF(C20&lt;=25%,"N/A",AVERAGE(I3:I17)))),2),"N/A")</f>
        <v>5.35</v>
      </c>
      <c r="F20" s="22">
        <f>ROUND(MEDIAN(H3:H17),2)</f>
        <v>5.89</v>
      </c>
      <c r="G20" s="23" t="str">
        <f>INDEX(G3:G17,MATCH(H20,H3:H17,0))</f>
        <v>MARILANA STEFANINI MESSA 30003195813</v>
      </c>
      <c r="H20" s="24">
        <f>MIN(H3:H17)</f>
        <v>3.6395197999999995</v>
      </c>
      <c r="I20" s="18"/>
    </row>
    <row r="21" spans="1:11">
      <c r="A21" s="25"/>
      <c r="B21" s="18"/>
      <c r="C21" s="26"/>
      <c r="D21" s="26"/>
      <c r="E21" s="26"/>
      <c r="F21" s="26"/>
      <c r="G21" s="18"/>
      <c r="H21" s="27"/>
      <c r="I21" s="28"/>
      <c r="J21" s="28"/>
      <c r="K21" s="28"/>
    </row>
    <row r="22" spans="1:11">
      <c r="B22" s="25"/>
      <c r="C22" s="25"/>
      <c r="D22" s="50"/>
      <c r="E22" s="50"/>
      <c r="F22" s="30"/>
      <c r="G22" s="31" t="s">
        <v>23</v>
      </c>
      <c r="H22" s="32">
        <f>IF(C20&lt;=25%,D20,MIN(E20:F20))</f>
        <v>5.35</v>
      </c>
    </row>
    <row r="23" spans="1:11">
      <c r="B23" s="25"/>
      <c r="C23" s="25"/>
      <c r="D23" s="50"/>
      <c r="E23" s="50"/>
      <c r="F23" s="33"/>
      <c r="G23" s="4" t="s">
        <v>24</v>
      </c>
      <c r="H23" s="24">
        <f>ROUND(H22,2)*D3</f>
        <v>53500</v>
      </c>
    </row>
    <row r="24" spans="1:11">
      <c r="B24" s="29"/>
      <c r="C24" s="29"/>
      <c r="D24" s="18"/>
      <c r="E24" s="18"/>
    </row>
    <row r="26" spans="1:11" ht="12.75" customHeight="1">
      <c r="A26" s="47" t="s">
        <v>25</v>
      </c>
      <c r="B26" s="47"/>
      <c r="C26" s="47"/>
      <c r="D26" s="47"/>
      <c r="E26" s="47"/>
      <c r="F26" s="47"/>
      <c r="G26" s="47"/>
      <c r="H26" s="47"/>
      <c r="I26" s="47"/>
    </row>
    <row r="27" spans="1:11" ht="12.75" customHeight="1">
      <c r="A27" s="47" t="s">
        <v>26</v>
      </c>
      <c r="B27" s="47"/>
      <c r="C27" s="47"/>
      <c r="D27" s="47"/>
      <c r="E27" s="47"/>
      <c r="F27" s="47"/>
      <c r="G27" s="47"/>
      <c r="H27" s="47"/>
      <c r="I27" s="47"/>
    </row>
    <row r="28" spans="1:11" ht="12.75" customHeight="1">
      <c r="A28" s="47" t="s">
        <v>27</v>
      </c>
      <c r="B28" s="47"/>
      <c r="C28" s="47"/>
      <c r="D28" s="47"/>
      <c r="E28" s="47"/>
      <c r="F28" s="47"/>
      <c r="G28" s="47"/>
      <c r="H28" s="47"/>
      <c r="I28" s="47"/>
    </row>
    <row r="29" spans="1:11" ht="12.75" customHeight="1">
      <c r="A29" s="47" t="s">
        <v>28</v>
      </c>
      <c r="B29" s="47"/>
      <c r="C29" s="47"/>
      <c r="D29" s="47"/>
      <c r="E29" s="47"/>
      <c r="F29" s="47"/>
      <c r="G29" s="47"/>
      <c r="H29" s="47"/>
      <c r="I29" s="47"/>
    </row>
    <row r="30" spans="1:11" ht="12.75" customHeight="1">
      <c r="A30" s="47" t="s">
        <v>29</v>
      </c>
      <c r="B30" s="47"/>
      <c r="C30" s="47"/>
      <c r="D30" s="47"/>
      <c r="E30" s="47"/>
      <c r="F30" s="47"/>
      <c r="G30" s="47"/>
      <c r="H30" s="47"/>
      <c r="I30" s="47"/>
    </row>
    <row r="31" spans="1:11" ht="12.75" customHeight="1">
      <c r="A31" s="47" t="s">
        <v>30</v>
      </c>
      <c r="B31" s="47"/>
      <c r="C31" s="47"/>
      <c r="D31" s="47"/>
      <c r="E31" s="47"/>
      <c r="F31" s="47"/>
      <c r="G31" s="47"/>
      <c r="H31" s="47"/>
      <c r="I31" s="47"/>
    </row>
    <row r="32" spans="1:11" ht="24.75" customHeight="1">
      <c r="A32" s="48" t="s">
        <v>31</v>
      </c>
      <c r="B32" s="48"/>
      <c r="C32" s="48"/>
      <c r="D32" s="48"/>
      <c r="E32" s="48"/>
      <c r="F32" s="48"/>
      <c r="G32" s="48"/>
      <c r="H32" s="48"/>
      <c r="I32" s="48"/>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H7" sqref="H7"/>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51" t="s">
        <v>0</v>
      </c>
      <c r="B1" s="51"/>
      <c r="C1" s="51"/>
      <c r="D1" s="51"/>
      <c r="E1" s="51"/>
      <c r="F1" s="51"/>
      <c r="G1" s="51"/>
      <c r="H1" s="51"/>
      <c r="I1" s="51"/>
    </row>
    <row r="2" spans="1:9" ht="25.5">
      <c r="A2" s="52" t="s">
        <v>72</v>
      </c>
      <c r="B2" s="2" t="s">
        <v>2</v>
      </c>
      <c r="C2" s="2" t="s">
        <v>3</v>
      </c>
      <c r="D2" s="2" t="s">
        <v>4</v>
      </c>
      <c r="E2" s="3" t="s">
        <v>5</v>
      </c>
      <c r="F2" s="3" t="s">
        <v>6</v>
      </c>
      <c r="G2" s="2" t="s">
        <v>7</v>
      </c>
      <c r="H2" s="4" t="s">
        <v>8</v>
      </c>
      <c r="I2" s="5" t="s">
        <v>9</v>
      </c>
    </row>
    <row r="3" spans="1:9" ht="12.75" customHeight="1">
      <c r="A3" s="52"/>
      <c r="B3" s="57" t="s">
        <v>73</v>
      </c>
      <c r="C3" s="54" t="s">
        <v>41</v>
      </c>
      <c r="D3" s="55">
        <f>30000*0.25</f>
        <v>7500</v>
      </c>
      <c r="E3" s="56">
        <f>IF(C20&lt;=25%,D20,MIN(E20:F20))</f>
        <v>5.71</v>
      </c>
      <c r="F3" s="56">
        <f>MIN(H3:H17)</f>
        <v>4.32460588</v>
      </c>
      <c r="G3" s="6" t="s">
        <v>67</v>
      </c>
      <c r="H3" s="7">
        <f>4.7*1.070447</f>
        <v>5.0311009000000002</v>
      </c>
      <c r="I3" s="8" t="str">
        <f t="shared" ref="I3:I17" si="0">IF(H3="","",(IF($C$20&lt;25%,"N/A",IF(H3&lt;=($D$20+$A$20),H3,"Descartado"))))</f>
        <v>N/A</v>
      </c>
    </row>
    <row r="4" spans="1:9">
      <c r="A4" s="52"/>
      <c r="B4" s="57"/>
      <c r="C4" s="54"/>
      <c r="D4" s="55"/>
      <c r="E4" s="56"/>
      <c r="F4" s="56"/>
      <c r="G4" s="6" t="s">
        <v>74</v>
      </c>
      <c r="H4" s="7">
        <f>6.03*1.070447</f>
        <v>6.45479541</v>
      </c>
      <c r="I4" s="8" t="str">
        <f t="shared" si="0"/>
        <v>N/A</v>
      </c>
    </row>
    <row r="5" spans="1:9">
      <c r="A5" s="52"/>
      <c r="B5" s="57"/>
      <c r="C5" s="54"/>
      <c r="D5" s="55"/>
      <c r="E5" s="56"/>
      <c r="F5" s="56"/>
      <c r="G5" s="6" t="s">
        <v>69</v>
      </c>
      <c r="H5" s="7">
        <f>4.04*1.070447</f>
        <v>4.32460588</v>
      </c>
      <c r="I5" s="8" t="str">
        <f t="shared" si="0"/>
        <v>N/A</v>
      </c>
    </row>
    <row r="6" spans="1:9">
      <c r="A6" s="52"/>
      <c r="B6" s="57"/>
      <c r="C6" s="54"/>
      <c r="D6" s="55"/>
      <c r="E6" s="56"/>
      <c r="F6" s="56"/>
      <c r="G6" s="6" t="s">
        <v>70</v>
      </c>
      <c r="H6" s="7">
        <f>6.55*1.070447</f>
        <v>7.0114278499999996</v>
      </c>
      <c r="I6" s="8" t="str">
        <f t="shared" si="0"/>
        <v>N/A</v>
      </c>
    </row>
    <row r="7" spans="1:9">
      <c r="A7" s="52"/>
      <c r="B7" s="57"/>
      <c r="C7" s="54"/>
      <c r="D7" s="55"/>
      <c r="E7" s="56"/>
      <c r="F7" s="56"/>
      <c r="G7" s="6"/>
      <c r="H7" s="7"/>
      <c r="I7" s="8" t="str">
        <f t="shared" si="0"/>
        <v/>
      </c>
    </row>
    <row r="8" spans="1:9">
      <c r="A8" s="52"/>
      <c r="B8" s="57"/>
      <c r="C8" s="54"/>
      <c r="D8" s="55"/>
      <c r="E8" s="56"/>
      <c r="F8" s="56"/>
      <c r="G8" s="6"/>
      <c r="H8" s="7"/>
      <c r="I8" s="8" t="str">
        <f t="shared" si="0"/>
        <v/>
      </c>
    </row>
    <row r="9" spans="1:9">
      <c r="A9" s="52"/>
      <c r="B9" s="57"/>
      <c r="C9" s="54"/>
      <c r="D9" s="55"/>
      <c r="E9" s="56"/>
      <c r="F9" s="56"/>
      <c r="G9" s="6"/>
      <c r="H9" s="7"/>
      <c r="I9" s="8" t="str">
        <f t="shared" si="0"/>
        <v/>
      </c>
    </row>
    <row r="10" spans="1:9">
      <c r="A10" s="52"/>
      <c r="B10" s="57"/>
      <c r="C10" s="54"/>
      <c r="D10" s="55"/>
      <c r="E10" s="56"/>
      <c r="F10" s="56"/>
      <c r="G10" s="6"/>
      <c r="H10" s="7"/>
      <c r="I10" s="8" t="str">
        <f t="shared" si="0"/>
        <v/>
      </c>
    </row>
    <row r="11" spans="1:9">
      <c r="A11" s="52"/>
      <c r="B11" s="57"/>
      <c r="C11" s="54"/>
      <c r="D11" s="55"/>
      <c r="E11" s="56"/>
      <c r="F11" s="56"/>
      <c r="G11" s="6"/>
      <c r="H11" s="7"/>
      <c r="I11" s="8" t="str">
        <f t="shared" si="0"/>
        <v/>
      </c>
    </row>
    <row r="12" spans="1:9">
      <c r="A12" s="52"/>
      <c r="B12" s="57"/>
      <c r="C12" s="54"/>
      <c r="D12" s="55"/>
      <c r="E12" s="56"/>
      <c r="F12" s="56"/>
      <c r="G12" s="6"/>
      <c r="H12" s="7"/>
      <c r="I12" s="8" t="str">
        <f t="shared" si="0"/>
        <v/>
      </c>
    </row>
    <row r="13" spans="1:9">
      <c r="A13" s="52"/>
      <c r="B13" s="57"/>
      <c r="C13" s="54"/>
      <c r="D13" s="55"/>
      <c r="E13" s="56"/>
      <c r="F13" s="56"/>
      <c r="G13" s="6"/>
      <c r="H13" s="7"/>
      <c r="I13" s="8" t="str">
        <f t="shared" si="0"/>
        <v/>
      </c>
    </row>
    <row r="14" spans="1:9">
      <c r="A14" s="52"/>
      <c r="B14" s="57"/>
      <c r="C14" s="54"/>
      <c r="D14" s="55"/>
      <c r="E14" s="56"/>
      <c r="F14" s="56"/>
      <c r="G14" s="6"/>
      <c r="H14" s="7"/>
      <c r="I14" s="8" t="str">
        <f t="shared" si="0"/>
        <v/>
      </c>
    </row>
    <row r="15" spans="1:9">
      <c r="A15" s="52"/>
      <c r="B15" s="57"/>
      <c r="C15" s="54"/>
      <c r="D15" s="55"/>
      <c r="E15" s="56"/>
      <c r="F15" s="56"/>
      <c r="G15" s="6"/>
      <c r="H15" s="7"/>
      <c r="I15" s="8" t="str">
        <f t="shared" si="0"/>
        <v/>
      </c>
    </row>
    <row r="16" spans="1:9">
      <c r="A16" s="52"/>
      <c r="B16" s="57"/>
      <c r="C16" s="54"/>
      <c r="D16" s="55"/>
      <c r="E16" s="56"/>
      <c r="F16" s="56"/>
      <c r="G16" s="6"/>
      <c r="H16" s="7"/>
      <c r="I16" s="8" t="str">
        <f t="shared" si="0"/>
        <v/>
      </c>
    </row>
    <row r="17" spans="1:11">
      <c r="A17" s="52"/>
      <c r="B17" s="57"/>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16</v>
      </c>
      <c r="B19" s="5" t="s">
        <v>17</v>
      </c>
      <c r="C19" s="4" t="s">
        <v>18</v>
      </c>
      <c r="D19" s="16" t="s">
        <v>19</v>
      </c>
      <c r="E19" s="17" t="s">
        <v>20</v>
      </c>
      <c r="F19" s="16" t="s">
        <v>21</v>
      </c>
      <c r="G19" s="49" t="s">
        <v>22</v>
      </c>
      <c r="H19" s="49"/>
      <c r="I19" s="18"/>
    </row>
    <row r="20" spans="1:11">
      <c r="A20" s="19">
        <f>IF(B20&lt;2,"N/A",(STDEV(H3:H17)))</f>
        <v>1.2421183352590932</v>
      </c>
      <c r="B20" s="19">
        <f>COUNT(H3:H17)</f>
        <v>4</v>
      </c>
      <c r="C20" s="20">
        <f>IF(B20&lt;2,"N/A",(A20/D20))</f>
        <v>0.21753385906463979</v>
      </c>
      <c r="D20" s="21">
        <f>ROUND(AVERAGE(H3:H17),2)</f>
        <v>5.71</v>
      </c>
      <c r="E20" s="22" t="str">
        <f>IFERROR(ROUND(IF(B20&lt;2,"N/A",(IF(C20&lt;=25%,"N/A",AVERAGE(I3:I17)))),2),"N/A")</f>
        <v>N/A</v>
      </c>
      <c r="F20" s="22">
        <f>ROUND(MEDIAN(H3:H17),2)</f>
        <v>5.74</v>
      </c>
      <c r="G20" s="23" t="str">
        <f>INDEX(G3:G17,MATCH(H20,H3:H17,0))</f>
        <v>NZB EMBALAGENS</v>
      </c>
      <c r="H20" s="24">
        <f>MIN(H3:H17)</f>
        <v>4.32460588</v>
      </c>
      <c r="I20" s="18"/>
    </row>
    <row r="21" spans="1:11">
      <c r="A21" s="25"/>
      <c r="B21" s="18"/>
      <c r="C21" s="26"/>
      <c r="D21" s="26"/>
      <c r="E21" s="26"/>
      <c r="F21" s="26"/>
      <c r="G21" s="18"/>
      <c r="H21" s="27"/>
      <c r="I21" s="28"/>
      <c r="J21" s="28"/>
      <c r="K21" s="28"/>
    </row>
    <row r="22" spans="1:11">
      <c r="B22" s="25"/>
      <c r="C22" s="25"/>
      <c r="D22" s="50"/>
      <c r="E22" s="50"/>
      <c r="F22" s="30"/>
      <c r="G22" s="31" t="s">
        <v>23</v>
      </c>
      <c r="H22" s="32">
        <f>IF(C20&lt;=25%,D20,MIN(E20:F20))</f>
        <v>5.71</v>
      </c>
    </row>
    <row r="23" spans="1:11">
      <c r="B23" s="25"/>
      <c r="C23" s="25"/>
      <c r="D23" s="50"/>
      <c r="E23" s="50"/>
      <c r="F23" s="33"/>
      <c r="G23" s="4" t="s">
        <v>24</v>
      </c>
      <c r="H23" s="24">
        <f>ROUND(H22,2)*D3</f>
        <v>42825</v>
      </c>
    </row>
    <row r="24" spans="1:11">
      <c r="B24" s="29"/>
      <c r="C24" s="29"/>
      <c r="D24" s="18"/>
      <c r="E24" s="18"/>
    </row>
    <row r="26" spans="1:11" ht="12.75" customHeight="1">
      <c r="A26" s="47" t="s">
        <v>25</v>
      </c>
      <c r="B26" s="47"/>
      <c r="C26" s="47"/>
      <c r="D26" s="47"/>
      <c r="E26" s="47"/>
      <c r="F26" s="47"/>
      <c r="G26" s="47"/>
      <c r="H26" s="47"/>
      <c r="I26" s="47"/>
    </row>
    <row r="27" spans="1:11" ht="12.75" customHeight="1">
      <c r="A27" s="47" t="s">
        <v>26</v>
      </c>
      <c r="B27" s="47"/>
      <c r="C27" s="47"/>
      <c r="D27" s="47"/>
      <c r="E27" s="47"/>
      <c r="F27" s="47"/>
      <c r="G27" s="47"/>
      <c r="H27" s="47"/>
      <c r="I27" s="47"/>
    </row>
    <row r="28" spans="1:11" ht="12.75" customHeight="1">
      <c r="A28" s="47" t="s">
        <v>27</v>
      </c>
      <c r="B28" s="47"/>
      <c r="C28" s="47"/>
      <c r="D28" s="47"/>
      <c r="E28" s="47"/>
      <c r="F28" s="47"/>
      <c r="G28" s="47"/>
      <c r="H28" s="47"/>
      <c r="I28" s="47"/>
    </row>
    <row r="29" spans="1:11" ht="12.75" customHeight="1">
      <c r="A29" s="47" t="s">
        <v>28</v>
      </c>
      <c r="B29" s="47"/>
      <c r="C29" s="47"/>
      <c r="D29" s="47"/>
      <c r="E29" s="47"/>
      <c r="F29" s="47"/>
      <c r="G29" s="47"/>
      <c r="H29" s="47"/>
      <c r="I29" s="47"/>
    </row>
    <row r="30" spans="1:11" ht="12.75" customHeight="1">
      <c r="A30" s="47" t="s">
        <v>29</v>
      </c>
      <c r="B30" s="47"/>
      <c r="C30" s="47"/>
      <c r="D30" s="47"/>
      <c r="E30" s="47"/>
      <c r="F30" s="47"/>
      <c r="G30" s="47"/>
      <c r="H30" s="47"/>
      <c r="I30" s="47"/>
    </row>
    <row r="31" spans="1:11" ht="12.75" customHeight="1">
      <c r="A31" s="47" t="s">
        <v>30</v>
      </c>
      <c r="B31" s="47"/>
      <c r="C31" s="47"/>
      <c r="D31" s="47"/>
      <c r="E31" s="47"/>
      <c r="F31" s="47"/>
      <c r="G31" s="47"/>
      <c r="H31" s="47"/>
      <c r="I31" s="47"/>
    </row>
    <row r="32" spans="1:11" ht="24.75" customHeight="1">
      <c r="A32" s="48" t="s">
        <v>31</v>
      </c>
      <c r="B32" s="48"/>
      <c r="C32" s="48"/>
      <c r="D32" s="48"/>
      <c r="E32" s="48"/>
      <c r="F32" s="48"/>
      <c r="G32" s="48"/>
      <c r="H32" s="48"/>
      <c r="I32" s="48"/>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H6" sqref="H6"/>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51" t="s">
        <v>0</v>
      </c>
      <c r="B1" s="51"/>
      <c r="C1" s="51"/>
      <c r="D1" s="51"/>
      <c r="E1" s="51"/>
      <c r="F1" s="51"/>
      <c r="G1" s="51"/>
      <c r="H1" s="51"/>
      <c r="I1" s="51"/>
    </row>
    <row r="2" spans="1:9" ht="25.5">
      <c r="A2" s="52" t="s">
        <v>75</v>
      </c>
      <c r="B2" s="2" t="s">
        <v>2</v>
      </c>
      <c r="C2" s="2" t="s">
        <v>3</v>
      </c>
      <c r="D2" s="2" t="s">
        <v>4</v>
      </c>
      <c r="E2" s="3" t="s">
        <v>5</v>
      </c>
      <c r="F2" s="3" t="s">
        <v>6</v>
      </c>
      <c r="G2" s="2" t="s">
        <v>7</v>
      </c>
      <c r="H2" s="4" t="s">
        <v>8</v>
      </c>
      <c r="I2" s="5" t="s">
        <v>9</v>
      </c>
    </row>
    <row r="3" spans="1:9" ht="12.75" customHeight="1">
      <c r="A3" s="52"/>
      <c r="B3" s="57" t="s">
        <v>76</v>
      </c>
      <c r="C3" s="54" t="s">
        <v>11</v>
      </c>
      <c r="D3" s="55">
        <v>500</v>
      </c>
      <c r="E3" s="56">
        <f>IF(C20&lt;=25%,D20,MIN(E20:F20))</f>
        <v>4.91</v>
      </c>
      <c r="F3" s="56">
        <f>MIN(H3:H17)</f>
        <v>4.22826565</v>
      </c>
      <c r="G3" s="6" t="s">
        <v>77</v>
      </c>
      <c r="H3" s="7">
        <f>3.95*1.070447</f>
        <v>4.22826565</v>
      </c>
      <c r="I3" s="8" t="str">
        <f t="shared" ref="I3:I17" si="0">IF(H3="","",(IF($C$20&lt;25%,"N/A",IF(H3&lt;=($D$20+$A$20),H3,"Descartado"))))</f>
        <v>N/A</v>
      </c>
    </row>
    <row r="4" spans="1:9">
      <c r="A4" s="52"/>
      <c r="B4" s="57"/>
      <c r="C4" s="54"/>
      <c r="D4" s="55"/>
      <c r="E4" s="56"/>
      <c r="F4" s="56"/>
      <c r="G4" s="6" t="s">
        <v>78</v>
      </c>
      <c r="H4" s="7">
        <f>4.31*1.070447</f>
        <v>4.6136265699999992</v>
      </c>
      <c r="I4" s="8" t="str">
        <f t="shared" si="0"/>
        <v>N/A</v>
      </c>
    </row>
    <row r="5" spans="1:9">
      <c r="A5" s="52"/>
      <c r="B5" s="57"/>
      <c r="C5" s="54"/>
      <c r="D5" s="55"/>
      <c r="E5" s="56"/>
      <c r="F5" s="56"/>
      <c r="G5" s="6" t="s">
        <v>79</v>
      </c>
      <c r="H5" s="7">
        <f>5.49*1.070447</f>
        <v>5.8767540299999999</v>
      </c>
      <c r="I5" s="8" t="str">
        <f t="shared" si="0"/>
        <v>N/A</v>
      </c>
    </row>
    <row r="6" spans="1:9">
      <c r="A6" s="52"/>
      <c r="B6" s="57"/>
      <c r="C6" s="54"/>
      <c r="D6" s="55"/>
      <c r="E6" s="56"/>
      <c r="F6" s="56"/>
      <c r="G6" s="6"/>
      <c r="H6" s="7"/>
      <c r="I6" s="8" t="str">
        <f t="shared" si="0"/>
        <v/>
      </c>
    </row>
    <row r="7" spans="1:9">
      <c r="A7" s="52"/>
      <c r="B7" s="57"/>
      <c r="C7" s="54"/>
      <c r="D7" s="55"/>
      <c r="E7" s="56"/>
      <c r="F7" s="56"/>
      <c r="G7" s="6"/>
      <c r="H7" s="7"/>
      <c r="I7" s="8" t="str">
        <f t="shared" si="0"/>
        <v/>
      </c>
    </row>
    <row r="8" spans="1:9">
      <c r="A8" s="52"/>
      <c r="B8" s="57"/>
      <c r="C8" s="54"/>
      <c r="D8" s="55"/>
      <c r="E8" s="56"/>
      <c r="F8" s="56"/>
      <c r="G8" s="6"/>
      <c r="H8" s="7"/>
      <c r="I8" s="8" t="str">
        <f t="shared" si="0"/>
        <v/>
      </c>
    </row>
    <row r="9" spans="1:9">
      <c r="A9" s="52"/>
      <c r="B9" s="57"/>
      <c r="C9" s="54"/>
      <c r="D9" s="55"/>
      <c r="E9" s="56"/>
      <c r="F9" s="56"/>
      <c r="G9" s="6"/>
      <c r="H9" s="7"/>
      <c r="I9" s="8" t="str">
        <f t="shared" si="0"/>
        <v/>
      </c>
    </row>
    <row r="10" spans="1:9">
      <c r="A10" s="52"/>
      <c r="B10" s="57"/>
      <c r="C10" s="54"/>
      <c r="D10" s="55"/>
      <c r="E10" s="56"/>
      <c r="F10" s="56"/>
      <c r="G10" s="6"/>
      <c r="H10" s="7"/>
      <c r="I10" s="8" t="str">
        <f t="shared" si="0"/>
        <v/>
      </c>
    </row>
    <row r="11" spans="1:9">
      <c r="A11" s="52"/>
      <c r="B11" s="57"/>
      <c r="C11" s="54"/>
      <c r="D11" s="55"/>
      <c r="E11" s="56"/>
      <c r="F11" s="56"/>
      <c r="G11" s="6"/>
      <c r="H11" s="7"/>
      <c r="I11" s="8" t="str">
        <f t="shared" si="0"/>
        <v/>
      </c>
    </row>
    <row r="12" spans="1:9">
      <c r="A12" s="52"/>
      <c r="B12" s="57"/>
      <c r="C12" s="54"/>
      <c r="D12" s="55"/>
      <c r="E12" s="56"/>
      <c r="F12" s="56"/>
      <c r="G12" s="6"/>
      <c r="H12" s="7"/>
      <c r="I12" s="8" t="str">
        <f t="shared" si="0"/>
        <v/>
      </c>
    </row>
    <row r="13" spans="1:9">
      <c r="A13" s="52"/>
      <c r="B13" s="57"/>
      <c r="C13" s="54"/>
      <c r="D13" s="55"/>
      <c r="E13" s="56"/>
      <c r="F13" s="56"/>
      <c r="G13" s="6"/>
      <c r="H13" s="7"/>
      <c r="I13" s="8" t="str">
        <f t="shared" si="0"/>
        <v/>
      </c>
    </row>
    <row r="14" spans="1:9">
      <c r="A14" s="52"/>
      <c r="B14" s="57"/>
      <c r="C14" s="54"/>
      <c r="D14" s="55"/>
      <c r="E14" s="56"/>
      <c r="F14" s="56"/>
      <c r="G14" s="6"/>
      <c r="H14" s="7"/>
      <c r="I14" s="8" t="str">
        <f t="shared" si="0"/>
        <v/>
      </c>
    </row>
    <row r="15" spans="1:9">
      <c r="A15" s="52"/>
      <c r="B15" s="57"/>
      <c r="C15" s="54"/>
      <c r="D15" s="55"/>
      <c r="E15" s="56"/>
      <c r="F15" s="56"/>
      <c r="G15" s="6"/>
      <c r="H15" s="7"/>
      <c r="I15" s="8" t="str">
        <f t="shared" si="0"/>
        <v/>
      </c>
    </row>
    <row r="16" spans="1:9">
      <c r="A16" s="52"/>
      <c r="B16" s="57"/>
      <c r="C16" s="54"/>
      <c r="D16" s="55"/>
      <c r="E16" s="56"/>
      <c r="F16" s="56"/>
      <c r="G16" s="6"/>
      <c r="H16" s="7"/>
      <c r="I16" s="8" t="str">
        <f t="shared" si="0"/>
        <v/>
      </c>
    </row>
    <row r="17" spans="1:11">
      <c r="A17" s="52"/>
      <c r="B17" s="57"/>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16</v>
      </c>
      <c r="B19" s="5" t="s">
        <v>17</v>
      </c>
      <c r="C19" s="4" t="s">
        <v>18</v>
      </c>
      <c r="D19" s="16" t="s">
        <v>19</v>
      </c>
      <c r="E19" s="17" t="s">
        <v>20</v>
      </c>
      <c r="F19" s="16" t="s">
        <v>21</v>
      </c>
      <c r="G19" s="49" t="s">
        <v>22</v>
      </c>
      <c r="H19" s="49"/>
      <c r="I19" s="18"/>
    </row>
    <row r="20" spans="1:11">
      <c r="A20" s="19">
        <f>IF(B20&lt;2,"N/A",(STDEV(H3:H17)))</f>
        <v>0.86231355065547766</v>
      </c>
      <c r="B20" s="19">
        <f>COUNT(H3:H17)</f>
        <v>3</v>
      </c>
      <c r="C20" s="20">
        <f>IF(B20&lt;2,"N/A",(A20/D20))</f>
        <v>0.17562394107036206</v>
      </c>
      <c r="D20" s="21">
        <f>ROUND(AVERAGE(H3:H17),2)</f>
        <v>4.91</v>
      </c>
      <c r="E20" s="22" t="str">
        <f>IFERROR(ROUND(IF(B20&lt;2,"N/A",(IF(C20&lt;=25%,"N/A",AVERAGE(I3:I17)))),2),"N/A")</f>
        <v>N/A</v>
      </c>
      <c r="F20" s="22">
        <f>ROUND(MEDIAN(H3:H17),2)</f>
        <v>4.6100000000000003</v>
      </c>
      <c r="G20" s="23" t="str">
        <f>INDEX(G3:G17,MATCH(H20,H3:H17,0))</f>
        <v>ANA PAULA CRUZ DOS SANTOS 15160384871</v>
      </c>
      <c r="H20" s="24">
        <f>MIN(H3:H17)</f>
        <v>4.22826565</v>
      </c>
      <c r="I20" s="18"/>
    </row>
    <row r="21" spans="1:11">
      <c r="A21" s="25"/>
      <c r="B21" s="18"/>
      <c r="C21" s="26"/>
      <c r="D21" s="26"/>
      <c r="E21" s="26"/>
      <c r="F21" s="26"/>
      <c r="G21" s="18"/>
      <c r="H21" s="27"/>
      <c r="I21" s="28"/>
      <c r="J21" s="28"/>
      <c r="K21" s="28"/>
    </row>
    <row r="22" spans="1:11">
      <c r="B22" s="25"/>
      <c r="C22" s="25"/>
      <c r="D22" s="50"/>
      <c r="E22" s="50"/>
      <c r="F22" s="30"/>
      <c r="G22" s="31" t="s">
        <v>23</v>
      </c>
      <c r="H22" s="32">
        <f>IF(C20&lt;=25%,D20,MIN(E20:F20))</f>
        <v>4.91</v>
      </c>
    </row>
    <row r="23" spans="1:11">
      <c r="B23" s="25"/>
      <c r="C23" s="25"/>
      <c r="D23" s="50"/>
      <c r="E23" s="50"/>
      <c r="F23" s="33"/>
      <c r="G23" s="4" t="s">
        <v>24</v>
      </c>
      <c r="H23" s="24">
        <f>ROUND(H22,2)*D3</f>
        <v>2455</v>
      </c>
    </row>
    <row r="24" spans="1:11">
      <c r="B24" s="29"/>
      <c r="C24" s="29"/>
      <c r="D24" s="18"/>
      <c r="E24" s="18"/>
    </row>
    <row r="26" spans="1:11" ht="12.75" customHeight="1">
      <c r="A26" s="47" t="s">
        <v>25</v>
      </c>
      <c r="B26" s="47"/>
      <c r="C26" s="47"/>
      <c r="D26" s="47"/>
      <c r="E26" s="47"/>
      <c r="F26" s="47"/>
      <c r="G26" s="47"/>
      <c r="H26" s="47"/>
      <c r="I26" s="47"/>
    </row>
    <row r="27" spans="1:11" ht="12.75" customHeight="1">
      <c r="A27" s="47" t="s">
        <v>26</v>
      </c>
      <c r="B27" s="47"/>
      <c r="C27" s="47"/>
      <c r="D27" s="47"/>
      <c r="E27" s="47"/>
      <c r="F27" s="47"/>
      <c r="G27" s="47"/>
      <c r="H27" s="47"/>
      <c r="I27" s="47"/>
    </row>
    <row r="28" spans="1:11" ht="12.75" customHeight="1">
      <c r="A28" s="47" t="s">
        <v>27</v>
      </c>
      <c r="B28" s="47"/>
      <c r="C28" s="47"/>
      <c r="D28" s="47"/>
      <c r="E28" s="47"/>
      <c r="F28" s="47"/>
      <c r="G28" s="47"/>
      <c r="H28" s="47"/>
      <c r="I28" s="47"/>
    </row>
    <row r="29" spans="1:11" ht="12.75" customHeight="1">
      <c r="A29" s="47" t="s">
        <v>28</v>
      </c>
      <c r="B29" s="47"/>
      <c r="C29" s="47"/>
      <c r="D29" s="47"/>
      <c r="E29" s="47"/>
      <c r="F29" s="47"/>
      <c r="G29" s="47"/>
      <c r="H29" s="47"/>
      <c r="I29" s="47"/>
    </row>
    <row r="30" spans="1:11" ht="12.75" customHeight="1">
      <c r="A30" s="47" t="s">
        <v>29</v>
      </c>
      <c r="B30" s="47"/>
      <c r="C30" s="47"/>
      <c r="D30" s="47"/>
      <c r="E30" s="47"/>
      <c r="F30" s="47"/>
      <c r="G30" s="47"/>
      <c r="H30" s="47"/>
      <c r="I30" s="47"/>
    </row>
    <row r="31" spans="1:11" ht="12.75" customHeight="1">
      <c r="A31" s="47" t="s">
        <v>30</v>
      </c>
      <c r="B31" s="47"/>
      <c r="C31" s="47"/>
      <c r="D31" s="47"/>
      <c r="E31" s="47"/>
      <c r="F31" s="47"/>
      <c r="G31" s="47"/>
      <c r="H31" s="47"/>
      <c r="I31" s="47"/>
    </row>
    <row r="32" spans="1:11" ht="24.75" customHeight="1">
      <c r="A32" s="48" t="s">
        <v>31</v>
      </c>
      <c r="B32" s="48"/>
      <c r="C32" s="48"/>
      <c r="D32" s="48"/>
      <c r="E32" s="48"/>
      <c r="F32" s="48"/>
      <c r="G32" s="48"/>
      <c r="H32" s="48"/>
      <c r="I32" s="48"/>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H12" sqref="H12"/>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51" t="s">
        <v>0</v>
      </c>
      <c r="B1" s="51"/>
      <c r="C1" s="51"/>
      <c r="D1" s="51"/>
      <c r="E1" s="51"/>
      <c r="F1" s="51"/>
      <c r="G1" s="51"/>
      <c r="H1" s="51"/>
      <c r="I1" s="51"/>
    </row>
    <row r="2" spans="1:9" ht="25.5">
      <c r="A2" s="52" t="s">
        <v>80</v>
      </c>
      <c r="B2" s="2" t="s">
        <v>2</v>
      </c>
      <c r="C2" s="2" t="s">
        <v>3</v>
      </c>
      <c r="D2" s="2" t="s">
        <v>4</v>
      </c>
      <c r="E2" s="3" t="s">
        <v>5</v>
      </c>
      <c r="F2" s="3" t="s">
        <v>6</v>
      </c>
      <c r="G2" s="2" t="s">
        <v>7</v>
      </c>
      <c r="H2" s="4" t="s">
        <v>8</v>
      </c>
      <c r="I2" s="5" t="s">
        <v>9</v>
      </c>
    </row>
    <row r="3" spans="1:9" ht="12.75" customHeight="1">
      <c r="A3" s="52"/>
      <c r="B3" s="57" t="s">
        <v>81</v>
      </c>
      <c r="C3" s="54" t="s">
        <v>11</v>
      </c>
      <c r="D3" s="55">
        <v>500</v>
      </c>
      <c r="E3" s="56">
        <f>IF(C20&lt;=25%,D20,MIN(E20:F20))</f>
        <v>12.89</v>
      </c>
      <c r="F3" s="56">
        <f>MIN(H3:H17)</f>
        <v>6.9043831500000001</v>
      </c>
      <c r="G3" s="6" t="s">
        <v>82</v>
      </c>
      <c r="H3" s="7">
        <f>6.45*1.070447</f>
        <v>6.9043831500000001</v>
      </c>
      <c r="I3" s="8">
        <f t="shared" ref="I3:I17" si="0">IF(H3="","",(IF($C$20&lt;25%,"N/A",IF(H3&lt;=($D$20+$A$20),H3,"Descartado"))))</f>
        <v>6.9043831500000001</v>
      </c>
    </row>
    <row r="4" spans="1:9">
      <c r="A4" s="52"/>
      <c r="B4" s="57"/>
      <c r="C4" s="54"/>
      <c r="D4" s="55"/>
      <c r="E4" s="56"/>
      <c r="F4" s="56"/>
      <c r="G4" s="6" t="s">
        <v>83</v>
      </c>
      <c r="H4" s="7">
        <f>8.15*1.070447</f>
        <v>8.7241430500000003</v>
      </c>
      <c r="I4" s="8">
        <f t="shared" si="0"/>
        <v>8.7241430500000003</v>
      </c>
    </row>
    <row r="5" spans="1:9">
      <c r="A5" s="52"/>
      <c r="B5" s="57"/>
      <c r="C5" s="54"/>
      <c r="D5" s="55"/>
      <c r="E5" s="56"/>
      <c r="F5" s="56"/>
      <c r="G5" s="6" t="s">
        <v>84</v>
      </c>
      <c r="H5" s="7">
        <f>12.48*1.070447</f>
        <v>13.35917856</v>
      </c>
      <c r="I5" s="8">
        <f t="shared" si="0"/>
        <v>13.35917856</v>
      </c>
    </row>
    <row r="6" spans="1:9">
      <c r="A6" s="52"/>
      <c r="B6" s="57"/>
      <c r="C6" s="54"/>
      <c r="D6" s="55"/>
      <c r="E6" s="56"/>
      <c r="F6" s="56"/>
      <c r="G6" s="6" t="s">
        <v>85</v>
      </c>
      <c r="H6" s="7">
        <f>13.8*1.070447</f>
        <v>14.772168600000001</v>
      </c>
      <c r="I6" s="8">
        <f t="shared" si="0"/>
        <v>14.772168600000001</v>
      </c>
    </row>
    <row r="7" spans="1:9">
      <c r="A7" s="52"/>
      <c r="B7" s="57"/>
      <c r="C7" s="54"/>
      <c r="D7" s="55"/>
      <c r="E7" s="56"/>
      <c r="F7" s="56"/>
      <c r="G7" s="6" t="s">
        <v>43</v>
      </c>
      <c r="H7" s="7">
        <f>14.06*1.070447</f>
        <v>15.050484819999999</v>
      </c>
      <c r="I7" s="8">
        <f t="shared" si="0"/>
        <v>15.050484819999999</v>
      </c>
    </row>
    <row r="8" spans="1:9">
      <c r="A8" s="52"/>
      <c r="B8" s="57"/>
      <c r="C8" s="54"/>
      <c r="D8" s="55"/>
      <c r="E8" s="56"/>
      <c r="F8" s="56"/>
      <c r="G8" s="6" t="s">
        <v>86</v>
      </c>
      <c r="H8" s="7">
        <f>14.47*1.070447</f>
        <v>15.489368089999999</v>
      </c>
      <c r="I8" s="8">
        <f t="shared" si="0"/>
        <v>15.489368089999999</v>
      </c>
    </row>
    <row r="9" spans="1:9">
      <c r="A9" s="52"/>
      <c r="B9" s="57"/>
      <c r="C9" s="54"/>
      <c r="D9" s="55"/>
      <c r="E9" s="56"/>
      <c r="F9" s="56"/>
      <c r="G9" s="6" t="s">
        <v>87</v>
      </c>
      <c r="H9" s="7">
        <f>14.9*1.070447</f>
        <v>15.9496603</v>
      </c>
      <c r="I9" s="8">
        <f t="shared" si="0"/>
        <v>15.9496603</v>
      </c>
    </row>
    <row r="10" spans="1:9">
      <c r="A10" s="52"/>
      <c r="B10" s="57"/>
      <c r="C10" s="54"/>
      <c r="D10" s="55"/>
      <c r="E10" s="56"/>
      <c r="F10" s="56"/>
      <c r="G10" s="6" t="s">
        <v>88</v>
      </c>
      <c r="H10" s="7">
        <f>61.9*1.070447</f>
        <v>66.260669299999989</v>
      </c>
      <c r="I10" s="8" t="str">
        <f t="shared" si="0"/>
        <v>Descartado</v>
      </c>
    </row>
    <row r="11" spans="1:9">
      <c r="A11" s="52"/>
      <c r="B11" s="57"/>
      <c r="C11" s="54"/>
      <c r="D11" s="55"/>
      <c r="E11" s="56"/>
      <c r="F11" s="56"/>
      <c r="G11" s="6" t="s">
        <v>89</v>
      </c>
      <c r="H11" s="7">
        <f>95.6*1.070447</f>
        <v>102.33473319999999</v>
      </c>
      <c r="I11" s="8" t="str">
        <f t="shared" si="0"/>
        <v>Descartado</v>
      </c>
    </row>
    <row r="12" spans="1:9">
      <c r="A12" s="52"/>
      <c r="B12" s="57"/>
      <c r="C12" s="54"/>
      <c r="D12" s="55"/>
      <c r="E12" s="56"/>
      <c r="F12" s="56"/>
      <c r="G12" s="6"/>
      <c r="H12" s="7"/>
      <c r="I12" s="8" t="str">
        <f t="shared" si="0"/>
        <v/>
      </c>
    </row>
    <row r="13" spans="1:9">
      <c r="A13" s="52"/>
      <c r="B13" s="57"/>
      <c r="C13" s="54"/>
      <c r="D13" s="55"/>
      <c r="E13" s="56"/>
      <c r="F13" s="56"/>
      <c r="G13" s="6"/>
      <c r="H13" s="7"/>
      <c r="I13" s="8" t="str">
        <f t="shared" si="0"/>
        <v/>
      </c>
    </row>
    <row r="14" spans="1:9">
      <c r="A14" s="52"/>
      <c r="B14" s="57"/>
      <c r="C14" s="54"/>
      <c r="D14" s="55"/>
      <c r="E14" s="56"/>
      <c r="F14" s="56"/>
      <c r="G14" s="6"/>
      <c r="H14" s="7"/>
      <c r="I14" s="8" t="str">
        <f t="shared" si="0"/>
        <v/>
      </c>
    </row>
    <row r="15" spans="1:9">
      <c r="A15" s="52"/>
      <c r="B15" s="57"/>
      <c r="C15" s="54"/>
      <c r="D15" s="55"/>
      <c r="E15" s="56"/>
      <c r="F15" s="56"/>
      <c r="G15" s="6"/>
      <c r="H15" s="7"/>
      <c r="I15" s="8" t="str">
        <f t="shared" si="0"/>
        <v/>
      </c>
    </row>
    <row r="16" spans="1:9">
      <c r="A16" s="52"/>
      <c r="B16" s="57"/>
      <c r="C16" s="54"/>
      <c r="D16" s="55"/>
      <c r="E16" s="56"/>
      <c r="F16" s="56"/>
      <c r="G16" s="6"/>
      <c r="H16" s="7"/>
      <c r="I16" s="8" t="str">
        <f t="shared" si="0"/>
        <v/>
      </c>
    </row>
    <row r="17" spans="1:11">
      <c r="A17" s="52"/>
      <c r="B17" s="57"/>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16</v>
      </c>
      <c r="B19" s="5" t="s">
        <v>17</v>
      </c>
      <c r="C19" s="4" t="s">
        <v>18</v>
      </c>
      <c r="D19" s="16" t="s">
        <v>19</v>
      </c>
      <c r="E19" s="17" t="s">
        <v>20</v>
      </c>
      <c r="F19" s="16" t="s">
        <v>21</v>
      </c>
      <c r="G19" s="49" t="s">
        <v>22</v>
      </c>
      <c r="H19" s="49"/>
      <c r="I19" s="18"/>
    </row>
    <row r="20" spans="1:11">
      <c r="A20" s="19">
        <f>IF(B20&lt;2,"N/A",(STDEV(H3:H17)))</f>
        <v>32.900712609603914</v>
      </c>
      <c r="B20" s="19">
        <f>COUNT(H3:H17)</f>
        <v>9</v>
      </c>
      <c r="C20" s="20">
        <f>IF(B20&lt;2,"N/A",(A20/D20))</f>
        <v>1.1439747082616103</v>
      </c>
      <c r="D20" s="21">
        <f>ROUND(AVERAGE(H3:H17),2)</f>
        <v>28.76</v>
      </c>
      <c r="E20" s="22">
        <f>IFERROR(ROUND(IF(B20&lt;2,"N/A",(IF(C20&lt;=25%,"N/A",AVERAGE(I3:I17)))),2),"N/A")</f>
        <v>12.89</v>
      </c>
      <c r="F20" s="22">
        <f>ROUND(MEDIAN(H3:H17),2)</f>
        <v>15.05</v>
      </c>
      <c r="G20" s="23" t="str">
        <f>INDEX(G3:G17,MATCH(H20,H3:H17,0))</f>
        <v>E. A. SCHMITT FREISLEBEN &amp; CIA LTDA</v>
      </c>
      <c r="H20" s="24">
        <f>MIN(H3:H17)</f>
        <v>6.9043831500000001</v>
      </c>
      <c r="I20" s="18"/>
    </row>
    <row r="21" spans="1:11">
      <c r="A21" s="25"/>
      <c r="B21" s="18"/>
      <c r="C21" s="26"/>
      <c r="D21" s="26"/>
      <c r="E21" s="26"/>
      <c r="F21" s="26"/>
      <c r="G21" s="18"/>
      <c r="H21" s="27"/>
      <c r="I21" s="28"/>
      <c r="J21" s="28"/>
      <c r="K21" s="28"/>
    </row>
    <row r="22" spans="1:11">
      <c r="B22" s="25"/>
      <c r="C22" s="25"/>
      <c r="D22" s="50"/>
      <c r="E22" s="50"/>
      <c r="F22" s="30"/>
      <c r="G22" s="31" t="s">
        <v>23</v>
      </c>
      <c r="H22" s="32">
        <f>IF(C20&lt;=25%,D20,MIN(E20:F20))</f>
        <v>12.89</v>
      </c>
    </row>
    <row r="23" spans="1:11">
      <c r="B23" s="25"/>
      <c r="C23" s="25"/>
      <c r="D23" s="50"/>
      <c r="E23" s="50"/>
      <c r="F23" s="33"/>
      <c r="G23" s="4" t="s">
        <v>24</v>
      </c>
      <c r="H23" s="24">
        <f>ROUND(H22,2)*D3</f>
        <v>6445</v>
      </c>
    </row>
    <row r="24" spans="1:11">
      <c r="B24" s="29"/>
      <c r="C24" s="29"/>
      <c r="D24" s="18"/>
      <c r="E24" s="18"/>
    </row>
    <row r="26" spans="1:11" ht="12.75" customHeight="1">
      <c r="A26" s="47" t="s">
        <v>25</v>
      </c>
      <c r="B26" s="47"/>
      <c r="C26" s="47"/>
      <c r="D26" s="47"/>
      <c r="E26" s="47"/>
      <c r="F26" s="47"/>
      <c r="G26" s="47"/>
      <c r="H26" s="47"/>
      <c r="I26" s="47"/>
    </row>
    <row r="27" spans="1:11" ht="12.75" customHeight="1">
      <c r="A27" s="47" t="s">
        <v>26</v>
      </c>
      <c r="B27" s="47"/>
      <c r="C27" s="47"/>
      <c r="D27" s="47"/>
      <c r="E27" s="47"/>
      <c r="F27" s="47"/>
      <c r="G27" s="47"/>
      <c r="H27" s="47"/>
      <c r="I27" s="47"/>
    </row>
    <row r="28" spans="1:11" ht="12.75" customHeight="1">
      <c r="A28" s="47" t="s">
        <v>27</v>
      </c>
      <c r="B28" s="47"/>
      <c r="C28" s="47"/>
      <c r="D28" s="47"/>
      <c r="E28" s="47"/>
      <c r="F28" s="47"/>
      <c r="G28" s="47"/>
      <c r="H28" s="47"/>
      <c r="I28" s="47"/>
    </row>
    <row r="29" spans="1:11" ht="12.75" customHeight="1">
      <c r="A29" s="47" t="s">
        <v>28</v>
      </c>
      <c r="B29" s="47"/>
      <c r="C29" s="47"/>
      <c r="D29" s="47"/>
      <c r="E29" s="47"/>
      <c r="F29" s="47"/>
      <c r="G29" s="47"/>
      <c r="H29" s="47"/>
      <c r="I29" s="47"/>
    </row>
    <row r="30" spans="1:11" ht="12.75" customHeight="1">
      <c r="A30" s="47" t="s">
        <v>29</v>
      </c>
      <c r="B30" s="47"/>
      <c r="C30" s="47"/>
      <c r="D30" s="47"/>
      <c r="E30" s="47"/>
      <c r="F30" s="47"/>
      <c r="G30" s="47"/>
      <c r="H30" s="47"/>
      <c r="I30" s="47"/>
    </row>
    <row r="31" spans="1:11" ht="12.75" customHeight="1">
      <c r="A31" s="47" t="s">
        <v>30</v>
      </c>
      <c r="B31" s="47"/>
      <c r="C31" s="47"/>
      <c r="D31" s="47"/>
      <c r="E31" s="47"/>
      <c r="F31" s="47"/>
      <c r="G31" s="47"/>
      <c r="H31" s="47"/>
      <c r="I31" s="47"/>
    </row>
    <row r="32" spans="1:11" ht="24.75" customHeight="1">
      <c r="A32" s="48" t="s">
        <v>31</v>
      </c>
      <c r="B32" s="48"/>
      <c r="C32" s="48"/>
      <c r="D32" s="48"/>
      <c r="E32" s="48"/>
      <c r="F32" s="48"/>
      <c r="G32" s="48"/>
      <c r="H32" s="48"/>
      <c r="I32" s="48"/>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docProps/app.xml><?xml version="1.0" encoding="utf-8"?>
<Properties xmlns="http://schemas.openxmlformats.org/officeDocument/2006/extended-properties" xmlns:vt="http://schemas.openxmlformats.org/officeDocument/2006/docPropsVTypes">
  <Template/>
  <TotalTime>1110</TotalTime>
  <Application>Microsoft Excel</Application>
  <DocSecurity>0</DocSecurity>
  <ScaleCrop>false</ScaleCrop>
  <HeadingPairs>
    <vt:vector size="4" baseType="variant">
      <vt:variant>
        <vt:lpstr>Planilhas</vt:lpstr>
      </vt:variant>
      <vt:variant>
        <vt:i4>51</vt:i4>
      </vt:variant>
      <vt:variant>
        <vt:lpstr>Intervalos nomeados</vt:lpstr>
      </vt:variant>
      <vt:variant>
        <vt:i4>3</vt:i4>
      </vt:variant>
    </vt:vector>
  </HeadingPairs>
  <TitlesOfParts>
    <vt:vector size="54" baseType="lpstr">
      <vt:lpstr>Item1</vt:lpstr>
      <vt:lpstr>Item2</vt:lpstr>
      <vt:lpstr>Item3</vt:lpstr>
      <vt:lpstr>Item4</vt:lpstr>
      <vt:lpstr>Item5</vt:lpstr>
      <vt:lpstr>Item6</vt:lpstr>
      <vt:lpstr>Item7</vt:lpstr>
      <vt:lpstr>Item8</vt:lpstr>
      <vt:lpstr>Item9</vt:lpstr>
      <vt:lpstr>Item10</vt:lpstr>
      <vt:lpstr>Item11</vt:lpstr>
      <vt:lpstr>Item12</vt:lpstr>
      <vt:lpstr>Item13</vt:lpstr>
      <vt:lpstr>Item14</vt:lpstr>
      <vt:lpstr>Item15</vt:lpstr>
      <vt:lpstr>Item16</vt:lpstr>
      <vt:lpstr>Item17</vt:lpstr>
      <vt:lpstr>Item18</vt:lpstr>
      <vt:lpstr>Item19</vt:lpstr>
      <vt:lpstr>Item20</vt:lpstr>
      <vt:lpstr>Item21</vt:lpstr>
      <vt:lpstr>Item22</vt:lpstr>
      <vt:lpstr>Item23</vt:lpstr>
      <vt:lpstr>Item24</vt:lpstr>
      <vt:lpstr>Item25</vt:lpstr>
      <vt:lpstr>Item26</vt:lpstr>
      <vt:lpstr>Item27</vt:lpstr>
      <vt:lpstr>Item28</vt:lpstr>
      <vt:lpstr>Item29</vt:lpstr>
      <vt:lpstr>Item30</vt:lpstr>
      <vt:lpstr>Item31</vt:lpstr>
      <vt:lpstr>Item32</vt:lpstr>
      <vt:lpstr>Item33</vt:lpstr>
      <vt:lpstr>Item34</vt:lpstr>
      <vt:lpstr>Item35</vt:lpstr>
      <vt:lpstr>Item36</vt:lpstr>
      <vt:lpstr>Item37</vt:lpstr>
      <vt:lpstr>Item38</vt:lpstr>
      <vt:lpstr>Item39</vt:lpstr>
      <vt:lpstr>Item40</vt:lpstr>
      <vt:lpstr>Item41</vt:lpstr>
      <vt:lpstr>Item42</vt:lpstr>
      <vt:lpstr>Item43</vt:lpstr>
      <vt:lpstr>Item44</vt:lpstr>
      <vt:lpstr>Item45</vt:lpstr>
      <vt:lpstr>Item46</vt:lpstr>
      <vt:lpstr>Item47</vt:lpstr>
      <vt:lpstr>Item48</vt:lpstr>
      <vt:lpstr>Item49</vt:lpstr>
      <vt:lpstr>Item50</vt:lpstr>
      <vt:lpstr>TOTAL</vt:lpstr>
      <vt:lpstr>TOTAL!Area_de_impressao</vt:lpstr>
      <vt:lpstr>TOTAL!Print_Area_0</vt:lpstr>
      <vt:lpstr>TOTAL!Titulos_de_impressao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AlcGntara Santos</dc:creator>
  <cp:lastModifiedBy>Milena Austregesilo Hereda</cp:lastModifiedBy>
  <cp:revision>64</cp:revision>
  <cp:lastPrinted>2021-11-11T21:14:33Z</cp:lastPrinted>
  <dcterms:created xsi:type="dcterms:W3CDTF">2019-01-16T20:04:04Z</dcterms:created>
  <dcterms:modified xsi:type="dcterms:W3CDTF">2021-11-12T16:34:33Z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15.0000</vt:lpwstr>
  </property>
  <property fmtid="{D5CDD505-2E9C-101B-9397-08002B2CF9AE}" pid="3" name="HyperlinksChanged">
    <vt:bool>false</vt:bool>
  </property>
  <property fmtid="{D5CDD505-2E9C-101B-9397-08002B2CF9AE}" pid="4" name="LinksUpToDate">
    <vt:bool>false</vt:bool>
  </property>
  <property fmtid="{D5CDD505-2E9C-101B-9397-08002B2CF9AE}" pid="5" name="ScaleCrop">
    <vt:bool>false</vt:bool>
  </property>
  <property fmtid="{D5CDD505-2E9C-101B-9397-08002B2CF9AE}" pid="6" name="ShareDoc">
    <vt:bool>false</vt:bool>
  </property>
</Properties>
</file>